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ihDbIwJocuxbq/Yxzk2m7CclCcCn2+dfjqUF4F2kxGaokjCJcZSQ+On0vvWrTz2HSiNnr8yCa51/7hv45immhA==" workbookSaltValue="T+4V+2RX8Fk5mGZ79rqdI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D17" i="2"/>
  <c r="T13" i="12"/>
  <c r="V9" i="11"/>
  <c r="AP17" i="20"/>
  <c r="BU9" i="17"/>
  <c r="T13" i="16"/>
  <c r="BF12" i="11"/>
  <c r="BH12" i="16"/>
  <c r="BD9" i="8"/>
  <c r="AH13" i="16"/>
  <c r="C10" i="14"/>
  <c r="K10" i="14" s="1"/>
  <c r="AL20" i="20"/>
  <c r="E20" i="20"/>
  <c r="AC20" i="20"/>
  <c r="BF17" i="8" l="1"/>
  <c r="H17" i="2"/>
  <c r="BD15" i="13"/>
  <c r="Q15" i="17"/>
  <c r="BV16" i="16"/>
  <c r="BG9" i="11"/>
  <c r="BK15" i="11"/>
  <c r="BH17" i="16"/>
  <c r="BG15" i="8"/>
  <c r="BF16" i="13"/>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<sst xmlns="http://schemas.openxmlformats.org/spreadsheetml/2006/main" count="2094" uniqueCount="913">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</sst>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vPRBThckcRo+ZvaeWUk19qISWoovUwegdxJFJL4vPU9IMiykYH/LjyY4FWmjfhB9o63qUII6Cq94q+17xikIQ==" saltValue="FhphW0cwuVvpk/z9wWzJ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2</v>
      </c>
      <c r="F10" s="230">
        <f>IF(ISNUMBER(Datos!K10),Datos!K10," - ")</f>
        <v>3</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-0.1111111111111111</v>
      </c>
      <c r="L10" s="1201">
        <f>IF(ISNUMBER(NºAsuntos!I10/NºAsuntos!G10),(NºAsuntos!I10/NºAsuntos!G10)*11," - ")</f>
        <v>29.333333333333332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102.71308016877637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649</v>
      </c>
      <c r="D16" s="229">
        <f>IF(ISNUMBER(IF(D_I="SI",Datos!I16,Datos!I16+Datos!AC16)),IF(D_I="SI",Datos!I16,Datos!I16+Datos!AC16)," - ")</f>
        <v>540</v>
      </c>
      <c r="E16" s="230">
        <f>IF(ISNUMBER(IF(D_I="SI",Datos!J16,Datos!J16+Datos!AD16)),IF(D_I="SI",Datos!J16,Datos!J16+Datos!AD16)," - ")</f>
        <v>663</v>
      </c>
      <c r="F16" s="230">
        <f>IF(ISNUMBER(IF(D_I="SI",Datos!K16,Datos!K16+Datos!AE16)),IF(D_I="SI",Datos!K16,Datos!K16+Datos!AE16)," - ")</f>
        <v>562</v>
      </c>
      <c r="G16" s="1189" t="str">
        <f>IF(Datos!E16&lt;&gt;"",Datos!E16,Datos!D16)</f>
        <v>04</v>
      </c>
      <c r="H16" s="231">
        <f>IF(ISNUMBER(IF(D_I="SI",Datos!L16,Datos!L16+Datos!AF16)),IF(D_I="SI",Datos!L16,Datos!L16+Datos!AF16)," - ")</f>
        <v>750</v>
      </c>
      <c r="I16" s="1199" t="str">
        <f>IF(ISNUMBER(Datos!AS16/Datos!BM16),Datos!AS16/Datos!BM16," - ")</f>
        <v xml:space="preserve"> - </v>
      </c>
      <c r="J16" s="1200">
        <f>IF(ISNUMBER(Datos!BY16/Datos!CN16),Datos!BY16/Datos!CN16," - ")</f>
        <v>0</v>
      </c>
      <c r="K16" s="234">
        <f t="shared" si="3"/>
        <v>0.15562403697996918</v>
      </c>
      <c r="L16" s="1201">
        <f>IF(ISNUMBER(NºAsuntos!I16/NºAsuntos!G16),(NºAsuntos!I16/NºAsuntos!G16)*11," - ")</f>
        <v>14.679715302491104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29</v>
      </c>
      <c r="E17" s="230">
        <f>IF(ISNUMBER(IF(D_I="SI",Datos!J17,Datos!J17+Datos!AD17)),IF(D_I="SI",Datos!J17,Datos!J17+Datos!AD17)," - ")</f>
        <v>47</v>
      </c>
      <c r="F17" s="230">
        <f>IF(ISNUMBER(IF(D_I="SI",Datos!K17,Datos!K17+Datos!AE17)),IF(D_I="SI",Datos!K17,Datos!K17+Datos!AE17)," - ")</f>
        <v>54</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-0.2413793103448276</v>
      </c>
      <c r="L17" s="1201">
        <f>IF(ISNUMBER(NºAsuntos!I17/NºAsuntos!G17),(NºAsuntos!I17/NºAsuntos!G17)*11," - ")</f>
        <v>4.481481481481481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678</v>
      </c>
      <c r="D18" s="1206">
        <f>SUBTOTAL(9,D15:D17)</f>
        <v>569</v>
      </c>
      <c r="E18" s="1207">
        <f>SUBTOTAL(9,E15:E17)</f>
        <v>710</v>
      </c>
      <c r="F18" s="1207">
        <f>SUBTOTAL(9,F15:F17)</f>
        <v>616</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687</v>
      </c>
      <c r="D19" s="1228">
        <f>SUBTOTAL(9,D9:D18)</f>
        <v>578</v>
      </c>
      <c r="E19" s="1229">
        <f>SUBTOTAL(9,E9:E18)</f>
        <v>712</v>
      </c>
      <c r="F19" s="1229">
        <f>SUBTOTAL(9,F9:F18)</f>
        <v>619</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30Rh6y6I9oLBeIc25Axwv3jbE8VPjcVVDS3gJhVnsyutrmhxVMKK7mbVOfW862dLintfx45ZRkYcJ1Tsp4lfpg==" saltValue="x8NuJxRUJzbC6VIuwztqD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otuPk1FU+1CZTzITCA9uiTB15twv0s6UlreFxKOesSRSyPSlXemf4jh8ZiZBJQvt5SQsLDBxLb0WMQ8XBvOUA==" saltValue="RpQ65EzAS00FHFE6iLab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2</v>
      </c>
      <c r="K10" s="185">
        <v>3</v>
      </c>
      <c r="L10" s="185">
        <v>8</v>
      </c>
      <c r="M10" s="185">
        <v>2</v>
      </c>
      <c r="N10" s="185">
        <v>0</v>
      </c>
      <c r="O10" s="185">
        <v>1</v>
      </c>
      <c r="P10" s="185">
        <v>0</v>
      </c>
      <c r="Q10" s="185">
        <v>0</v>
      </c>
      <c r="R10" s="185">
        <v>0</v>
      </c>
      <c r="S10" s="185">
        <v>0</v>
      </c>
      <c r="T10" s="185">
        <v>2</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2</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1784</v>
      </c>
      <c r="J12" s="187">
        <v>527</v>
      </c>
      <c r="K12" s="187">
        <v>204</v>
      </c>
      <c r="L12" s="187">
        <v>2107</v>
      </c>
      <c r="M12" s="187">
        <v>62</v>
      </c>
      <c r="N12" s="187">
        <v>58</v>
      </c>
      <c r="O12" s="185">
        <v>124</v>
      </c>
      <c r="P12" s="187">
        <v>86</v>
      </c>
      <c r="Q12" s="187">
        <v>38</v>
      </c>
      <c r="R12" s="187">
        <v>2199</v>
      </c>
      <c r="S12" s="187">
        <v>1154</v>
      </c>
      <c r="T12" s="187">
        <v>508</v>
      </c>
      <c r="U12" s="187">
        <v>435</v>
      </c>
      <c r="V12" s="187">
        <v>1364</v>
      </c>
      <c r="W12" s="187">
        <v>95</v>
      </c>
      <c r="X12" s="193">
        <v>225</v>
      </c>
      <c r="Y12" s="195">
        <v>101</v>
      </c>
      <c r="Z12" s="185">
        <v>38</v>
      </c>
      <c r="AA12" s="185">
        <v>33</v>
      </c>
      <c r="AB12" s="185">
        <v>106</v>
      </c>
      <c r="AC12" s="187">
        <v>0</v>
      </c>
      <c r="AD12" s="187">
        <v>0</v>
      </c>
      <c r="AE12" s="187">
        <v>0</v>
      </c>
      <c r="AF12" s="193">
        <v>0</v>
      </c>
      <c r="AG12" s="206">
        <v>79</v>
      </c>
      <c r="AH12" s="187">
        <v>64</v>
      </c>
      <c r="AI12" s="187">
        <v>46</v>
      </c>
      <c r="AJ12" s="207">
        <v>102</v>
      </c>
      <c r="AK12" s="186">
        <v>0</v>
      </c>
      <c r="AL12" s="187">
        <v>0</v>
      </c>
      <c r="AM12" s="187">
        <v>0</v>
      </c>
      <c r="AN12" s="193">
        <v>0</v>
      </c>
      <c r="AO12" s="263">
        <v>3</v>
      </c>
      <c r="AP12" s="159">
        <v>3</v>
      </c>
      <c r="AQ12" s="159">
        <v>3</v>
      </c>
      <c r="AR12" s="158">
        <v>3</v>
      </c>
      <c r="AS12" s="349" t="s">
        <v>811</v>
      </c>
      <c r="AT12" s="207"/>
      <c r="AU12" s="206"/>
      <c r="AV12" s="207"/>
      <c r="AW12" s="206"/>
      <c r="AX12" s="207"/>
      <c r="AY12" s="127">
        <f t="shared" si="1"/>
        <v>1233</v>
      </c>
      <c r="AZ12" s="128">
        <f t="shared" si="1"/>
        <v>572</v>
      </c>
      <c r="BA12" s="128">
        <f t="shared" si="1"/>
        <v>481</v>
      </c>
      <c r="BB12" s="128">
        <f t="shared" si="1"/>
        <v>1466</v>
      </c>
      <c r="BC12" s="126">
        <f>IF(ISNUMBER(X12),X12," - ")</f>
        <v>225</v>
      </c>
      <c r="BD12" s="127">
        <f t="shared" si="2"/>
        <v>0.84090909090909094</v>
      </c>
      <c r="BE12" s="128">
        <f t="shared" si="3"/>
        <v>3.0478170478170479</v>
      </c>
      <c r="BF12" s="128">
        <f t="shared" si="4"/>
        <v>0.4677754677754678</v>
      </c>
      <c r="BG12" s="200">
        <f t="shared" si="5"/>
        <v>3.7525987525987525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1793</v>
      </c>
      <c r="J13" s="188">
        <f t="shared" si="6"/>
        <v>529</v>
      </c>
      <c r="K13" s="188">
        <f t="shared" si="6"/>
        <v>207</v>
      </c>
      <c r="L13" s="188">
        <f t="shared" si="6"/>
        <v>2115</v>
      </c>
      <c r="M13" s="188">
        <f t="shared" si="6"/>
        <v>64</v>
      </c>
      <c r="N13" s="188">
        <f t="shared" si="6"/>
        <v>58</v>
      </c>
      <c r="O13" s="188">
        <f t="shared" si="6"/>
        <v>125</v>
      </c>
      <c r="P13" s="188">
        <f t="shared" si="6"/>
        <v>86</v>
      </c>
      <c r="Q13" s="188">
        <f t="shared" si="6"/>
        <v>38</v>
      </c>
      <c r="R13" s="188">
        <f t="shared" si="6"/>
        <v>2199</v>
      </c>
      <c r="S13" s="188">
        <f t="shared" si="6"/>
        <v>1154</v>
      </c>
      <c r="T13" s="188">
        <f t="shared" si="6"/>
        <v>510</v>
      </c>
      <c r="U13" s="188">
        <f t="shared" si="6"/>
        <v>435</v>
      </c>
      <c r="V13" s="188">
        <f t="shared" si="6"/>
        <v>1366</v>
      </c>
      <c r="W13" s="188">
        <f t="shared" si="6"/>
        <v>95</v>
      </c>
      <c r="X13" s="188">
        <f t="shared" si="6"/>
        <v>225</v>
      </c>
      <c r="Y13" s="188">
        <f t="shared" si="6"/>
        <v>101</v>
      </c>
      <c r="Z13" s="188">
        <f t="shared" si="6"/>
        <v>38</v>
      </c>
      <c r="AA13" s="188">
        <f t="shared" si="6"/>
        <v>33</v>
      </c>
      <c r="AB13" s="188">
        <f t="shared" si="6"/>
        <v>106</v>
      </c>
      <c r="AC13" s="188">
        <f t="shared" si="6"/>
        <v>0</v>
      </c>
      <c r="AD13" s="188">
        <f t="shared" si="6"/>
        <v>0</v>
      </c>
      <c r="AE13" s="188">
        <f t="shared" si="6"/>
        <v>0</v>
      </c>
      <c r="AF13" s="188">
        <f>SUBTOTAL(9,AF9:AF12)</f>
        <v>0</v>
      </c>
      <c r="AG13" s="188">
        <f t="shared" ref="AG13:AT13" si="7">SUBTOTAL(9,AG8:AG12)</f>
        <v>79</v>
      </c>
      <c r="AH13" s="188">
        <f t="shared" si="7"/>
        <v>64</v>
      </c>
      <c r="AI13" s="188">
        <f t="shared" si="7"/>
        <v>46</v>
      </c>
      <c r="AJ13" s="188">
        <f t="shared" si="7"/>
        <v>102</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1233</v>
      </c>
      <c r="AZ13" s="188">
        <f>SUBTOTAL(9,AZ8:AZ12)</f>
        <v>574</v>
      </c>
      <c r="BA13" s="188">
        <f>SUBTOTAL(9,BA8:BA12)</f>
        <v>481</v>
      </c>
      <c r="BB13" s="188">
        <f>SUBTOTAL(9,BB8:BB12)</f>
        <v>1468</v>
      </c>
      <c r="BC13" s="188">
        <f>SUBTOTAL(9,BC8:BC12)</f>
        <v>225</v>
      </c>
      <c r="BD13" s="209">
        <f>IF(ISNUMBER(BA13/AZ13),BA13/AZ13," - ")</f>
        <v>0.83797909407665505</v>
      </c>
      <c r="BE13" s="210">
        <f>IF(ISNUMBER(BB13/BA13),BB13/BA13, " - ")</f>
        <v>3.0519750519750519</v>
      </c>
      <c r="BF13" s="210">
        <f>IF(ISNUMBER(BC13/BA13),BC13/BA13, " - ")</f>
        <v>0.4677754677754678</v>
      </c>
      <c r="BG13" s="211">
        <f>IF(ISNUMBER((AY13+AZ13)/BA13),(AY13+AZ13)/BA13," - ")</f>
        <v>3.7567567567567566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540</v>
      </c>
      <c r="J16" s="187">
        <v>663</v>
      </c>
      <c r="K16" s="187">
        <v>562</v>
      </c>
      <c r="L16" s="187">
        <v>750</v>
      </c>
      <c r="M16" s="187">
        <v>59</v>
      </c>
      <c r="N16" s="187">
        <v>330</v>
      </c>
      <c r="O16" s="185">
        <v>0</v>
      </c>
      <c r="P16" s="187">
        <v>2</v>
      </c>
      <c r="Q16" s="187">
        <v>28</v>
      </c>
      <c r="R16" s="187">
        <v>90</v>
      </c>
      <c r="S16" s="187">
        <v>556</v>
      </c>
      <c r="T16" s="187">
        <v>710</v>
      </c>
      <c r="U16" s="187">
        <v>611</v>
      </c>
      <c r="V16" s="187">
        <v>598</v>
      </c>
      <c r="W16" s="187">
        <v>77</v>
      </c>
      <c r="X16" s="193">
        <v>363</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0</v>
      </c>
      <c r="AN16" s="193">
        <v>1</v>
      </c>
      <c r="AO16" s="263">
        <v>3</v>
      </c>
      <c r="AP16" s="159">
        <v>3</v>
      </c>
      <c r="AQ16" s="159">
        <v>3</v>
      </c>
      <c r="AR16" s="159">
        <v>3</v>
      </c>
      <c r="AS16" s="349" t="s">
        <v>491</v>
      </c>
      <c r="AT16" s="207"/>
      <c r="AU16" s="206"/>
      <c r="AV16" s="207"/>
      <c r="AW16" s="206"/>
      <c r="AX16" s="207"/>
      <c r="AY16" s="127">
        <f t="shared" si="9"/>
        <v>556</v>
      </c>
      <c r="AZ16" s="128">
        <f t="shared" si="9"/>
        <v>710</v>
      </c>
      <c r="BA16" s="128">
        <f t="shared" si="9"/>
        <v>611</v>
      </c>
      <c r="BB16" s="128">
        <f t="shared" si="9"/>
        <v>598</v>
      </c>
      <c r="BC16" s="126">
        <f>IF(ISNUMBER(W16),W16," - ")</f>
        <v>77</v>
      </c>
      <c r="BD16" s="127">
        <f t="shared" ref="BD16" si="11">IF(ISNUMBER(BA16/AZ16),BA16/AZ16," - ")</f>
        <v>0.8605633802816901</v>
      </c>
      <c r="BE16" s="128">
        <f t="shared" ref="BE16" si="12">IF(ISNUMBER(BB16/BA16),BB16/BA16, " - ")</f>
        <v>0.97872340425531912</v>
      </c>
      <c r="BF16" s="128">
        <f t="shared" ref="BF16" si="13">IF(ISNUMBER(BC16/BA16),BC16/BA16, " - ")</f>
        <v>0.1260229132569558</v>
      </c>
      <c r="BG16" s="200">
        <f t="shared" si="10"/>
        <v>2.072013093289689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v>
      </c>
      <c r="J17" s="187">
        <v>47</v>
      </c>
      <c r="K17" s="187">
        <v>54</v>
      </c>
      <c r="L17" s="187">
        <v>22</v>
      </c>
      <c r="M17" s="187">
        <v>0</v>
      </c>
      <c r="N17" s="187">
        <v>37</v>
      </c>
      <c r="O17" s="187">
        <v>0</v>
      </c>
      <c r="P17" s="187">
        <v>2</v>
      </c>
      <c r="Q17" s="187">
        <v>2</v>
      </c>
      <c r="R17" s="187">
        <v>5</v>
      </c>
      <c r="S17" s="187">
        <v>22</v>
      </c>
      <c r="T17" s="187">
        <v>42</v>
      </c>
      <c r="U17" s="187">
        <v>42</v>
      </c>
      <c r="V17" s="187">
        <v>26</v>
      </c>
      <c r="W17" s="187">
        <v>2</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42</v>
      </c>
      <c r="BA17" s="130">
        <f t="shared" si="14"/>
        <v>42</v>
      </c>
      <c r="BB17" s="130">
        <f t="shared" si="14"/>
        <v>26</v>
      </c>
      <c r="BC17" s="126">
        <f>IF(ISNUMBER(W17),W17," - ")</f>
        <v>2</v>
      </c>
      <c r="BD17" s="127">
        <f>IF(ISNUMBER(BA17/AZ17),BA17/AZ17," - ")</f>
        <v>1</v>
      </c>
      <c r="BE17" s="128">
        <f>IF(ISNUMBER(BB17/BA17),BB17/BA17, " - ")</f>
        <v>0.61904761904761907</v>
      </c>
      <c r="BF17" s="128">
        <f>IF(ISNUMBER(BC17/BA17),BC17/BA17, " - ")</f>
        <v>4.7619047619047616E-2</v>
      </c>
      <c r="BG17" s="200">
        <f>IF(ISNUMBER((AY17+AZ17)/BA17),(AY17+AZ17)/BA17," - ")</f>
        <v>1.5238095238095237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569</v>
      </c>
      <c r="J18" s="188">
        <f t="shared" si="15"/>
        <v>710</v>
      </c>
      <c r="K18" s="188">
        <f t="shared" si="15"/>
        <v>616</v>
      </c>
      <c r="L18" s="188">
        <f t="shared" si="15"/>
        <v>772</v>
      </c>
      <c r="M18" s="188">
        <f t="shared" si="15"/>
        <v>59</v>
      </c>
      <c r="N18" s="188">
        <f t="shared" si="15"/>
        <v>367</v>
      </c>
      <c r="O18" s="188">
        <f t="shared" si="15"/>
        <v>0</v>
      </c>
      <c r="P18" s="188">
        <f t="shared" si="15"/>
        <v>4</v>
      </c>
      <c r="Q18" s="188">
        <f t="shared" si="15"/>
        <v>30</v>
      </c>
      <c r="R18" s="188">
        <f t="shared" si="15"/>
        <v>95</v>
      </c>
      <c r="S18" s="188">
        <f t="shared" si="15"/>
        <v>578</v>
      </c>
      <c r="T18" s="188">
        <f t="shared" si="15"/>
        <v>752</v>
      </c>
      <c r="U18" s="188">
        <f t="shared" si="15"/>
        <v>653</v>
      </c>
      <c r="V18" s="188">
        <f t="shared" si="15"/>
        <v>624</v>
      </c>
      <c r="W18" s="188">
        <f t="shared" si="15"/>
        <v>79</v>
      </c>
      <c r="X18" s="188">
        <f t="shared" si="15"/>
        <v>384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578</v>
      </c>
      <c r="AZ18" s="188">
        <f>SUBTOTAL(9,AZ14:AZ17)</f>
        <v>752</v>
      </c>
      <c r="BA18" s="188">
        <f>SUBTOTAL(9,BA14:BA17)</f>
        <v>653</v>
      </c>
      <c r="BB18" s="188">
        <f>SUBTOTAL(9,BB14:BB17)</f>
        <v>624</v>
      </c>
      <c r="BC18" s="188">
        <f>SUBTOTAL(9,BC14:BC17)</f>
        <v>79</v>
      </c>
      <c r="BD18" s="209">
        <f>IF(ISNUMBER(BA18/AZ18),BA18/AZ18," - ")</f>
        <v>0.86835106382978722</v>
      </c>
      <c r="BE18" s="210">
        <f>IF(ISNUMBER(BB18/BA18),BB18/BA18, " - ")</f>
        <v>0.9555895865237366</v>
      </c>
      <c r="BF18" s="210">
        <f>IF(ISNUMBER(BC18/BA18),BC18/BA18, " - ")</f>
        <v>0.12098009188361408</v>
      </c>
      <c r="BG18" s="211">
        <f>IF(ISNUMBER((AY18+AZ18)/BA18),(AY18+AZ18)/BA18," - ")</f>
        <v>2.0367534456355285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2362</v>
      </c>
      <c r="J19" s="135">
        <f t="shared" si="18"/>
        <v>1239</v>
      </c>
      <c r="K19" s="135">
        <f t="shared" si="18"/>
        <v>823</v>
      </c>
      <c r="L19" s="135">
        <f t="shared" si="18"/>
        <v>2887</v>
      </c>
      <c r="M19" s="135">
        <f t="shared" si="18"/>
        <v>123</v>
      </c>
      <c r="N19" s="135">
        <f t="shared" si="18"/>
        <v>425</v>
      </c>
      <c r="O19" s="135">
        <f t="shared" si="18"/>
        <v>125</v>
      </c>
      <c r="P19" s="135">
        <f t="shared" si="18"/>
        <v>90</v>
      </c>
      <c r="Q19" s="135">
        <f t="shared" si="18"/>
        <v>68</v>
      </c>
      <c r="R19" s="135">
        <f t="shared" si="18"/>
        <v>2294</v>
      </c>
      <c r="S19" s="135">
        <f t="shared" si="18"/>
        <v>1732</v>
      </c>
      <c r="T19" s="135">
        <f t="shared" si="18"/>
        <v>1262</v>
      </c>
      <c r="U19" s="135">
        <f t="shared" si="18"/>
        <v>1088</v>
      </c>
      <c r="V19" s="135">
        <f t="shared" si="18"/>
        <v>1990</v>
      </c>
      <c r="W19" s="135">
        <f t="shared" si="18"/>
        <v>174</v>
      </c>
      <c r="X19" s="135">
        <f t="shared" si="18"/>
        <v>609</v>
      </c>
      <c r="Y19" s="135">
        <f t="shared" si="18"/>
        <v>101</v>
      </c>
      <c r="Z19" s="135">
        <f t="shared" si="18"/>
        <v>38</v>
      </c>
      <c r="AA19" s="135">
        <f t="shared" si="18"/>
        <v>33</v>
      </c>
      <c r="AB19" s="135">
        <f t="shared" si="18"/>
        <v>106</v>
      </c>
      <c r="AC19" s="135">
        <f t="shared" si="18"/>
        <v>0</v>
      </c>
      <c r="AD19" s="135">
        <f t="shared" si="18"/>
        <v>0</v>
      </c>
      <c r="AE19" s="135">
        <f t="shared" si="18"/>
        <v>0</v>
      </c>
      <c r="AF19" s="135">
        <f t="shared" si="18"/>
        <v>0</v>
      </c>
      <c r="AG19" s="135">
        <f t="shared" si="18"/>
        <v>79</v>
      </c>
      <c r="AH19" s="135">
        <f t="shared" si="18"/>
        <v>64</v>
      </c>
      <c r="AI19" s="135">
        <f t="shared" si="18"/>
        <v>46</v>
      </c>
      <c r="AJ19" s="135">
        <f t="shared" si="18"/>
        <v>102</v>
      </c>
      <c r="AK19" s="135">
        <f t="shared" si="18"/>
        <v>1</v>
      </c>
      <c r="AL19" s="135">
        <f t="shared" si="18"/>
        <v>0</v>
      </c>
      <c r="AM19" s="135">
        <f t="shared" si="18"/>
        <v>0</v>
      </c>
      <c r="AN19" s="214">
        <f t="shared" si="18"/>
        <v>1</v>
      </c>
      <c r="AO19" s="215">
        <v>4</v>
      </c>
      <c r="AP19" s="215">
        <v>3</v>
      </c>
      <c r="AQ19" s="215">
        <v>3</v>
      </c>
      <c r="AR19" s="215">
        <v>3</v>
      </c>
      <c r="AS19" s="157">
        <f t="shared" si="18"/>
        <v>0</v>
      </c>
      <c r="AT19" s="157">
        <f t="shared" si="18"/>
        <v>0</v>
      </c>
      <c r="AU19" s="215"/>
      <c r="AV19" s="216"/>
      <c r="AW19" s="215"/>
      <c r="AX19" s="216"/>
      <c r="AY19" s="134">
        <f>SUBTOTAL(9,AY9:AY18)</f>
        <v>1811</v>
      </c>
      <c r="AZ19" s="135">
        <f>SUBTOTAL(9,AZ9:AZ18)</f>
        <v>1326</v>
      </c>
      <c r="BA19" s="135">
        <f>SUBTOTAL(9,BA9:BA18)</f>
        <v>1134</v>
      </c>
      <c r="BB19" s="135">
        <f>SUBTOTAL(9,BB9:BB18)</f>
        <v>2092</v>
      </c>
      <c r="BC19" s="136">
        <f>SUBTOTAL(9,BC9:BC18)</f>
        <v>304</v>
      </c>
      <c r="BD19" s="217">
        <f>IF(ISNUMBER(BA19/AZ19),BA19/AZ19," - ")</f>
        <v>0.85520361990950222</v>
      </c>
      <c r="BE19" s="214">
        <f>IF(ISNUMBER(BB19/BA19),BB19/BA19, " - ")</f>
        <v>1.8447971781305115</v>
      </c>
      <c r="BF19" s="214">
        <f>IF(ISNUMBER(BC19/BA19),BC19/BA19, " - ")</f>
        <v>0.26807760141093473</v>
      </c>
      <c r="BG19" s="136">
        <f>IF(ISNUMBER((AY19+AZ19)/BA19),(AY19+AZ19)/BA19," - ")</f>
        <v>2.7663139329805997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gYd38EPcPxoYnJwDJDSYqikbpDmXOcCm70Wm17yEkthdLtlhVUcyuVipUSJUbIK4J0NTdDkx6pOQHijfzLlKw==" saltValue="UlvUGL/xnFh7lhFDe/2q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xrnDN3i0xfwm6V4OPkSlAFGqBtm4Kj+W+M3eLCL2WIiikHNIdXcuxalnEaRnrT6xXcpiPzp4B4TeciofhPaNQ==" saltValue="oOFD3seVx5yNb7WTJK7c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RONDA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8</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86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106</v>
      </c>
      <c r="AI12" s="503" t="str">
        <f>IF(ISNUMBER(Datos!CD12),Datos!CD12,"-")</f>
        <v>-</v>
      </c>
      <c r="AJ12" s="503" t="str">
        <f>IF(ISNUMBER(Datos!EN12),Datos!EN12," - ")</f>
        <v xml:space="preserve"> - </v>
      </c>
      <c r="AK12" s="503"/>
      <c r="AL12" s="504"/>
      <c r="AM12" s="671">
        <f>IF(ISNUMBER(Datos!R12),Datos!R12," - ")</f>
        <v>2199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62</v>
      </c>
      <c r="BD12" s="619">
        <f>IF(ISNUMBER(Datos!N12),Datos!N12," - ")</f>
        <v>58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0.41946902654867257</v>
      </c>
      <c r="BH12" s="669">
        <f>IF(ISNUMBER(((IF(J_V="SI",Datos!L12/Datos!K12,(Datos!L12+Datos!AB12)/(Datos!K12+Datos!AA12)))*11)/factor_trimestre),((IF(J_V="SI",Datos!L12/Datos!K12,(Datos!L12+Datos!AB12)/(Datos!K12+Datos!AA12)))*11)/factor_trimestre," - ")</f>
        <v>28.012658227848103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2.2315202231520222E-2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86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38</v>
      </c>
      <c r="AD13" s="1045">
        <f t="shared" si="1"/>
        <v>0</v>
      </c>
      <c r="AE13" s="1045">
        <f t="shared" si="1"/>
        <v>0</v>
      </c>
      <c r="AF13" s="1045">
        <f t="shared" si="1"/>
        <v>8</v>
      </c>
      <c r="AG13" s="1045">
        <f t="shared" si="1"/>
        <v>0</v>
      </c>
      <c r="AH13" s="1045">
        <f t="shared" si="1"/>
        <v>106</v>
      </c>
      <c r="AI13" s="1045">
        <f t="shared" si="1"/>
        <v>0</v>
      </c>
      <c r="AJ13" s="1045">
        <f t="shared" si="1"/>
        <v>0</v>
      </c>
      <c r="AK13" s="1045">
        <f t="shared" si="1"/>
        <v>0</v>
      </c>
      <c r="AL13" s="1045">
        <f t="shared" si="1"/>
        <v>0</v>
      </c>
      <c r="AM13" s="1045">
        <f t="shared" si="1"/>
        <v>2199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64</v>
      </c>
      <c r="BD13" s="1045">
        <f t="shared" si="1"/>
        <v>58</v>
      </c>
      <c r="BE13" s="1045">
        <f t="shared" si="1"/>
        <v>0</v>
      </c>
      <c r="BF13" s="1045">
        <f t="shared" si="1"/>
        <v>0</v>
      </c>
      <c r="BG13" s="1045">
        <f>IF(ISNUMBER(Datos!K13/Datos!J13),Datos!K13/Datos!J13," - ")</f>
        <v>0.39130434782608697</v>
      </c>
      <c r="BH13" s="1049">
        <f>IF(ISNUMBER(((Datos!L13/Datos!K13)*11)/factor_trimestre),((Datos!L13/Datos!K13)*11)/factor_trimestre," - ")</f>
        <v>30.65217391304348</v>
      </c>
      <c r="BI13" s="1045">
        <f>IF(ISNUMBER('Resol  Asuntos'!D13/NºAsuntos!G13),'Resol  Asuntos'!D13/NºAsuntos!G13," - ")</f>
        <v>0.26666666666666666</v>
      </c>
      <c r="BJ13" s="1045" t="str">
        <f>IF(ISNUMBER(Datos!CI13/Datos!CJ13),Datos!CI13/Datos!CJ13," - ")</f>
        <v xml:space="preserve"> - </v>
      </c>
      <c r="BK13" s="1045">
        <f>SUBTOTAL(9,BK8:BK12)</f>
        <v>0</v>
      </c>
      <c r="BL13" s="1045">
        <f>IF(ISNUMBER((I13-AB13+L13)/(F13)),(I13-AB13+L13)/(F13)," - ")</f>
        <v>-0.33333333333333331</v>
      </c>
      <c r="BM13" s="1050">
        <f>SUBTOTAL(9,BM9:BM12)</f>
        <v>2.2315202231520222E-2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649</v>
      </c>
      <c r="G16" s="650">
        <f>IF(ISNUMBER(IF(D_I="SI",Datos!I16,Datos!I16+Datos!AC16)),IF(D_I="SI",Datos!I16,Datos!I16+Datos!AC16)," - ")</f>
        <v>540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562</v>
      </c>
      <c r="AC16" s="230">
        <f>IF(ISNUMBER(Datos!Q16),Datos!Q16," - ")</f>
        <v>28</v>
      </c>
      <c r="AD16" s="343"/>
      <c r="AE16" s="515"/>
      <c r="AF16" s="648">
        <f>IF(ISNUMBER(IF(D_I="SI",Datos!L16,Datos!L16+Datos!AF16)),IF(D_I="SI",Datos!L16,Datos!L16+Datos!AF16)," - ")</f>
        <v>750</v>
      </c>
      <c r="AG16" s="343"/>
      <c r="AH16" s="343"/>
      <c r="AI16" s="343"/>
      <c r="AJ16" s="503"/>
      <c r="AK16" s="343"/>
      <c r="AL16" s="499"/>
      <c r="AM16" s="344">
        <f>IF(ISNUMBER(Datos!R16),Datos!R16," - ")</f>
        <v>90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59</v>
      </c>
      <c r="BD16" s="233">
        <f>IF(ISNUMBER(Datos!N16),Datos!N16," - ")</f>
        <v>330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0.84766214177978882</v>
      </c>
      <c r="BH16" s="669">
        <f>IF(ISNUMBER(((IF(D_I="SI",Datos!L16/Datos!K16,(Datos!L16+Datos!AF16)/(Datos!K16+Datos!AE16)))*11)/factor_trimestre),((IF(D_I="SI",Datos!L16/Datos!K16,(Datos!L16+Datos!AF16)/(Datos!K16+Datos!AE16)))*11)/factor_trimestre," - ")</f>
        <v>4.0035587188612105</v>
      </c>
      <c r="BI16" s="247">
        <f>IF(ISNUMBER('Resol  Asuntos'!D16/NºAsuntos!G16),'Resol  Asuntos'!D16/NºAsuntos!G16," - ")</f>
        <v>0.10498220640569395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54</v>
      </c>
      <c r="AC17" s="501">
        <f>IF(ISNUMBER(Datos!Q17),Datos!Q17," - ")</f>
        <v>2</v>
      </c>
      <c r="AD17" s="503"/>
      <c r="AE17" s="515"/>
      <c r="AF17" s="505">
        <f>IF(ISNUMBER(Datos!L17),Datos!L17,"-")</f>
        <v>22</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1.1489361702127661</v>
      </c>
      <c r="BH17" s="669">
        <f>IF(ISNUMBER(((IF(D_I="SI",Datos!L17/Datos!K17,(Datos!L17+Datos!AF17)/(Datos!K17+Datos!AE17)))*11)/factor_trimestre),((IF(D_I="SI",Datos!L17/Datos!K17,(Datos!L17+Datos!AF17)/(Datos!K17+Datos!AE17)))*11)/factor_trimestre," - ")</f>
        <v>1.2222222222222221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649</v>
      </c>
      <c r="G18" s="1044">
        <f>SUBTOTAL(9,G15:G17)</f>
        <v>569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616</v>
      </c>
      <c r="AC18" s="1045">
        <f t="shared" si="4"/>
        <v>30</v>
      </c>
      <c r="AD18" s="1045">
        <f t="shared" si="4"/>
        <v>0</v>
      </c>
      <c r="AE18" s="1045">
        <f t="shared" si="4"/>
        <v>0</v>
      </c>
      <c r="AF18" s="1045">
        <f t="shared" si="4"/>
        <v>772</v>
      </c>
      <c r="AG18" s="1045">
        <f t="shared" si="4"/>
        <v>0</v>
      </c>
      <c r="AH18" s="1045">
        <f t="shared" si="4"/>
        <v>0</v>
      </c>
      <c r="AI18" s="1045">
        <f t="shared" si="4"/>
        <v>0</v>
      </c>
      <c r="AJ18" s="1045">
        <f t="shared" si="4"/>
        <v>0</v>
      </c>
      <c r="AK18" s="1045">
        <f t="shared" si="4"/>
        <v>0</v>
      </c>
      <c r="AL18" s="1045">
        <f t="shared" si="4"/>
        <v>0</v>
      </c>
      <c r="AM18" s="1045">
        <f t="shared" si="4"/>
        <v>95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59</v>
      </c>
      <c r="BD18" s="1045">
        <f t="shared" si="4"/>
        <v>367</v>
      </c>
      <c r="BE18" s="1045">
        <f t="shared" si="4"/>
        <v>0</v>
      </c>
      <c r="BF18" s="1045">
        <f t="shared" si="4"/>
        <v>0</v>
      </c>
      <c r="BG18" s="1045">
        <f>IF(ISNUMBER(Datos!K18/Datos!J18),Datos!K18/Datos!J18," - ")</f>
        <v>0.86760563380281686</v>
      </c>
      <c r="BH18" s="1049">
        <f>IF(ISNUMBER(((Datos!L18/Datos!K18)*11)/factor_trimestre),((Datos!L18/Datos!K18)*11)/factor_trimestre," - ")</f>
        <v>3.7597402597402603</v>
      </c>
      <c r="BI18" s="1045">
        <f>SUBTOTAL(9,BI15:BI17)</f>
        <v>0.10498220640569395</v>
      </c>
      <c r="BJ18" s="1045">
        <f>SUBTOTAL(9,BJ15:BJ17)</f>
        <v>0</v>
      </c>
      <c r="BK18" s="1045">
        <f>SUBTOTAL(9,BK15:BK17)</f>
        <v>0</v>
      </c>
      <c r="BL18" s="1045">
        <f>IF(ISNUMBER((I18-AB18+L18)/(F18)),(I18-AB18+L18)/(F18)," - ")</f>
        <v>-0.94915254237288138</v>
      </c>
      <c r="BM18" s="1051">
        <f>IF(ISNUMBER((Datos!P18-Datos!Q18)/(Datos!R18-Datos!P18+Datos!Q18)),(Datos!P18-Datos!Q18)/(Datos!R18-Datos!P18+Datos!Q18)," - ")</f>
        <v>-0.21487603305785125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658</v>
      </c>
      <c r="G19" s="966">
        <f t="shared" si="6"/>
        <v>578</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90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619</v>
      </c>
      <c r="AC19" s="967">
        <f t="shared" si="7"/>
        <v>68</v>
      </c>
      <c r="AD19" s="967">
        <f t="shared" si="7"/>
        <v>0</v>
      </c>
      <c r="AE19" s="967">
        <f t="shared" si="7"/>
        <v>0</v>
      </c>
      <c r="AF19" s="974">
        <f t="shared" si="7"/>
        <v>780</v>
      </c>
      <c r="AG19" s="974">
        <f t="shared" si="7"/>
        <v>0</v>
      </c>
      <c r="AH19" s="974">
        <f t="shared" si="7"/>
        <v>106</v>
      </c>
      <c r="AI19" s="974">
        <f t="shared" si="7"/>
        <v>0</v>
      </c>
      <c r="AJ19" s="967">
        <f t="shared" si="7"/>
        <v>0</v>
      </c>
      <c r="AK19" s="974">
        <f t="shared" si="7"/>
        <v>0</v>
      </c>
      <c r="AL19" s="974">
        <f t="shared" si="7"/>
        <v>0</v>
      </c>
      <c r="AM19" s="974">
        <f t="shared" si="7"/>
        <v>2294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123</v>
      </c>
      <c r="BD19" s="966">
        <f t="shared" si="7"/>
        <v>425</v>
      </c>
      <c r="BE19" s="966">
        <f t="shared" si="7"/>
        <v>0</v>
      </c>
      <c r="BF19" s="976">
        <f t="shared" si="7"/>
        <v>0</v>
      </c>
      <c r="BG19" s="1061">
        <f>IF(ISNUMBER(Datos!K19/Datos!J19),Datos!K19/Datos!J19," - ")</f>
        <v>0.66424535916061345</v>
      </c>
      <c r="BH19" s="1061">
        <f>IF(ISNUMBER(((Datos!L19/Datos!K19)*11)/factor_trimestre),((Datos!L19/Datos!K19)*11)/factor_trimestre," - ")</f>
        <v>10.523693803159174</v>
      </c>
      <c r="BI19" s="959">
        <f>IF(ISNUMBER(Datos!J19/Datos!I19),Datos!J19/Datos!I19," - ")</f>
        <v>0.52455546147332766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-0.94072948328267481</v>
      </c>
      <c r="BM19" s="1035">
        <f>IF(ISNUMBER((Datos!P19-Datos!Q19+R19)/(Datos!R19-Datos!P19+Datos!Q19-R19)),(Datos!P19-Datos!Q19+R19)/(Datos!R19-Datos!P19+Datos!Q19-R19)," - ")</f>
        <v>9.683098591549295E-3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369.50417228136052</v>
      </c>
      <c r="G21" s="600">
        <f>IF(ISNUMBER(STDEV(G8:G18)),STDEV(G8:G18),"-")</f>
        <v>295.42207094257532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312.93178170329713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31.048349392520048</v>
      </c>
      <c r="BD21" s="599"/>
      <c r="BE21" s="599">
        <f>IF(ISNUMBER(STDEV(BE8:BE18)),STDEV(BE8:BE18),"-")</f>
        <v>0</v>
      </c>
      <c r="BF21" s="604">
        <f>IF(ISNUMBER(STDEV(BF8:BF18)),STDEV(BF8:BF18),"-")</f>
        <v>0</v>
      </c>
      <c r="BG21" s="914">
        <f>IF(ISNUMBER(STDEV(BG8:BG18)),STDEV(BG8:BG18),"-")</f>
        <v>0.42591077589522169</v>
      </c>
      <c r="BH21" s="918">
        <f>IF(ISNUMBER(STDEV(BH8:BH18)),STDEV(BH8:BH18),"-")</f>
        <v>13.161256901941664</v>
      </c>
      <c r="BI21" s="253">
        <f>IF(ISNUMBER(STDEV(BI8:BI18)),STDEV(BI8:BI18),"-")</f>
        <v>0.11008987533468986</v>
      </c>
      <c r="BJ21" s="234" t="str">
        <f>IF(ISNUMBER(BL21/BM21),BL21/BM21," - ")</f>
        <v xml:space="preserve"> - </v>
      </c>
      <c r="BK21" s="626"/>
      <c r="BL21" s="607">
        <f>IF(ISNUMBER(STDEV(BL8:BL18)),STDEV(BL8:BL18),"-")</f>
        <v>0.43544993869680054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a1mPE0gmROoJPMkXO7qaY4NsQ7F3tJvPhOp46Q8l5vcCBA3vPuux5BnUy+ijyVeIfLpBzq/HqnhdJoSMXhPMg==" saltValue="vOzi/AdiH2dPGOQRbGOT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RONDA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8</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38</v>
      </c>
      <c r="AA12" s="505" t="str">
        <f>IF(ISNUMBER(IF(J_V="SI",Datos!L12,Datos!L12+Datos!AB12)-IF(Monitorios="SI",Datos!CD12,0)),
                          IF(J_V="SI",Datos!L12,Datos!L12+Datos!AB12)-IF(Monitorios="SI",Datos!CD12,0),
                          " - ")</f>
        <v xml:space="preserve"> - </v>
      </c>
      <c r="AB12" s="503"/>
      <c r="AC12" s="503"/>
      <c r="AD12" s="516"/>
      <c r="AE12" s="516">
        <f>IF(ISNUMBER(Datos!R12),Datos!R12," - ")</f>
        <v>2199</v>
      </c>
      <c r="AF12" s="619" t="str">
        <f>IF(ISNUMBER(Datos!BV12),Datos!BV12," - ")</f>
        <v xml:space="preserve"> - </v>
      </c>
      <c r="AG12" s="506" t="str">
        <f>IF(ISNUMBER(Datos!DV12),Datos!DV12," - ")</f>
        <v xml:space="preserve"> - </v>
      </c>
      <c r="AH12" s="507"/>
      <c r="AI12" s="508"/>
      <c r="AJ12" s="506">
        <f>IF(ISNUMBER(Datos!M12),Datos!M12," - ")</f>
        <v>62</v>
      </c>
      <c r="AK12" s="619">
        <f>IF(ISNUMBER(Datos!N12),Datos!N12," - ")</f>
        <v>58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28.012658227848103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2.2315202231520222E-2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86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38</v>
      </c>
      <c r="AA13" s="1046">
        <f t="shared" si="2"/>
        <v>8</v>
      </c>
      <c r="AB13" s="1046">
        <f t="shared" si="2"/>
        <v>0</v>
      </c>
      <c r="AC13" s="1046">
        <f t="shared" si="2"/>
        <v>0</v>
      </c>
      <c r="AD13" s="1046">
        <f t="shared" si="2"/>
        <v>0</v>
      </c>
      <c r="AE13" s="1046">
        <f t="shared" si="2"/>
        <v>2199</v>
      </c>
      <c r="AF13" s="1054">
        <f t="shared" si="2"/>
        <v>0</v>
      </c>
      <c r="AG13" s="1054">
        <f t="shared" si="2"/>
        <v>0</v>
      </c>
      <c r="AH13" s="1054">
        <f t="shared" si="2"/>
        <v>0</v>
      </c>
      <c r="AI13" s="1054">
        <f t="shared" si="2"/>
        <v>0</v>
      </c>
      <c r="AJ13" s="1054">
        <f t="shared" si="2"/>
        <v>64</v>
      </c>
      <c r="AK13" s="1054">
        <f t="shared" si="2"/>
        <v>58</v>
      </c>
      <c r="AL13" s="1054">
        <f t="shared" si="2"/>
        <v>0</v>
      </c>
      <c r="AM13" s="1054">
        <f t="shared" si="2"/>
        <v>0</v>
      </c>
      <c r="AN13" s="1054">
        <f t="shared" si="2"/>
        <v>0</v>
      </c>
      <c r="AO13" s="1050">
        <f>IF(ISNUMBER(((NºAsuntos!I13/NºAsuntos!G13)*11)/factor_trimestre),((NºAsuntos!I13/NºAsuntos!G13)*11)/factor_trimestre," - ")</f>
        <v>27.762500000000003</v>
      </c>
      <c r="AP13" s="1056" t="str">
        <f>IF(ISNUMBER(Datos!CI13/Datos!CJ13),Datos!CI13/Datos!CJ13," - ")</f>
        <v xml:space="preserve"> - </v>
      </c>
      <c r="AQ13" s="1074">
        <f t="shared" ref="AQ13:AV13" si="3">SUBTOTAL(9,AQ9:AQ12)</f>
        <v>0</v>
      </c>
      <c r="AR13" s="1074">
        <f t="shared" si="3"/>
        <v>2.2315202231520222E-2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649</v>
      </c>
      <c r="G16" s="506">
        <f>IF(ISNUMBER(IF(D_I="SI",Datos!I16,Datos!I16+Datos!AC16)),IF(D_I="SI",Datos!I16,Datos!I16+Datos!AC16)," - ")</f>
        <v>540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562</v>
      </c>
      <c r="Z16" s="703">
        <f>IF(ISNUMBER(Datos!Q16),Datos!Q16," - ")</f>
        <v>28</v>
      </c>
      <c r="AA16" s="505">
        <f>IF(ISNUMBER(IF(D_I="SI",Datos!L16,Datos!L16+Datos!AF16)),IF(D_I="SI",Datos!L16,Datos!L16+Datos!AF16)," - ")</f>
        <v>750</v>
      </c>
      <c r="AB16" s="503"/>
      <c r="AC16" s="503"/>
      <c r="AD16" s="516"/>
      <c r="AE16" s="516">
        <f>IF(ISNUMBER(Datos!R16),Datos!R16," - ")</f>
        <v>90</v>
      </c>
      <c r="AF16" s="619" t="str">
        <f>IF(ISNUMBER(Datos!BV16),Datos!BV16," - ")</f>
        <v xml:space="preserve"> - </v>
      </c>
      <c r="AG16" s="506"/>
      <c r="AH16" s="507"/>
      <c r="AI16" s="508"/>
      <c r="AJ16" s="506">
        <f>IF(ISNUMBER(Datos!M16),Datos!M16," - ")</f>
        <v>59</v>
      </c>
      <c r="AK16" s="619">
        <f>IF(ISNUMBER(Datos!N16),Datos!N16," - ")</f>
        <v>330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4.0035587188612105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54</v>
      </c>
      <c r="Z17" s="703">
        <f>IF(ISNUMBER(Datos!Q17),Datos!Q17," - ")</f>
        <v>2</v>
      </c>
      <c r="AA17" s="505">
        <f>IF(ISNUMBER(Datos!L17),Datos!L17,"-")</f>
        <v>22</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0</v>
      </c>
      <c r="AK17" s="619">
        <f>IF(ISNUMBER(Datos!N17),Datos!N17," - ")</f>
        <v>37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1.2222222222222221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649</v>
      </c>
      <c r="G18" s="1044">
        <f>SUBTOTAL(9,G15:G17)</f>
        <v>569</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616</v>
      </c>
      <c r="Z18" s="1078">
        <f t="shared" si="5"/>
        <v>30</v>
      </c>
      <c r="AA18" s="1078">
        <f t="shared" si="5"/>
        <v>772</v>
      </c>
      <c r="AB18" s="1078">
        <f t="shared" si="5"/>
        <v>0</v>
      </c>
      <c r="AC18" s="1078">
        <f t="shared" si="5"/>
        <v>0</v>
      </c>
      <c r="AD18" s="1078">
        <f t="shared" si="5"/>
        <v>0</v>
      </c>
      <c r="AE18" s="1078">
        <f t="shared" si="5"/>
        <v>95</v>
      </c>
      <c r="AF18" s="1078">
        <f t="shared" si="5"/>
        <v>0</v>
      </c>
      <c r="AG18" s="1078">
        <f t="shared" si="5"/>
        <v>0</v>
      </c>
      <c r="AH18" s="1078">
        <f t="shared" si="5"/>
        <v>0</v>
      </c>
      <c r="AI18" s="1078">
        <f t="shared" si="5"/>
        <v>0</v>
      </c>
      <c r="AJ18" s="1078">
        <f t="shared" si="5"/>
        <v>59</v>
      </c>
      <c r="AK18" s="1078">
        <f t="shared" si="5"/>
        <v>367</v>
      </c>
      <c r="AL18" s="1078">
        <f t="shared" si="5"/>
        <v>0</v>
      </c>
      <c r="AM18" s="1078">
        <f t="shared" si="5"/>
        <v>0</v>
      </c>
      <c r="AN18" s="1078">
        <f t="shared" si="5"/>
        <v>0</v>
      </c>
      <c r="AO18" s="1080">
        <f>IF(ISNUMBER(((NºAsuntos!I18/NºAsuntos!G18)*11)/factor_trimestre),((NºAsuntos!I18/NºAsuntos!G18)*11)/factor_trimestre," - ")</f>
        <v>3.7597402597402603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658</v>
      </c>
      <c r="G19" s="966">
        <f t="shared" si="7"/>
        <v>578</v>
      </c>
      <c r="H19" s="967">
        <f t="shared" si="7"/>
        <v>0</v>
      </c>
      <c r="I19" s="966">
        <f t="shared" si="7"/>
        <v>0</v>
      </c>
      <c r="J19" s="968">
        <f t="shared" si="7"/>
        <v>0</v>
      </c>
      <c r="K19" s="966">
        <f t="shared" si="7"/>
        <v>0</v>
      </c>
      <c r="L19" s="969">
        <f t="shared" si="7"/>
        <v>0</v>
      </c>
      <c r="M19" s="966">
        <f t="shared" si="7"/>
        <v>0</v>
      </c>
      <c r="N19" s="967">
        <f t="shared" si="7"/>
        <v>90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619</v>
      </c>
      <c r="Z19" s="973">
        <f t="shared" si="8"/>
        <v>68</v>
      </c>
      <c r="AA19" s="974">
        <f t="shared" si="8"/>
        <v>780</v>
      </c>
      <c r="AB19" s="974">
        <f t="shared" si="8"/>
        <v>0</v>
      </c>
      <c r="AC19" s="974">
        <f t="shared" si="8"/>
        <v>0</v>
      </c>
      <c r="AD19" s="975">
        <f t="shared" si="8"/>
        <v>0</v>
      </c>
      <c r="AE19" s="975">
        <f t="shared" si="8"/>
        <v>2294</v>
      </c>
      <c r="AF19" s="976">
        <f t="shared" si="8"/>
        <v>0</v>
      </c>
      <c r="AG19" s="977">
        <f t="shared" si="8"/>
        <v>0</v>
      </c>
      <c r="AH19" s="978">
        <f t="shared" si="8"/>
        <v>0</v>
      </c>
      <c r="AI19" s="976">
        <f t="shared" si="8"/>
        <v>0</v>
      </c>
      <c r="AJ19" s="966">
        <f t="shared" si="8"/>
        <v>123</v>
      </c>
      <c r="AK19" s="966">
        <f t="shared" si="8"/>
        <v>425</v>
      </c>
      <c r="AL19" s="966">
        <f t="shared" si="8"/>
        <v>0</v>
      </c>
      <c r="AM19" s="979">
        <f t="shared" si="8"/>
        <v>0</v>
      </c>
      <c r="AN19" s="969">
        <f>IF(ISNUMBER(Datos!K19/Datos!J19),Datos!K19/Datos!J19," - ")</f>
        <v>0.66424535916061345</v>
      </c>
      <c r="AO19" s="969">
        <f>IF(ISNUMBER(FIND("06",Criterios!A8,1)),(IF(ISNUMBER(((Datos!R19/Datos!Q19)*11)/factor_trimestre),((Datos!R19/Datos!Q19)*11)/factor_trimestre," - ")),(IF(ISNUMBER(((Datos!L19/Datos!K19)*11)/factor_trimestre),((Datos!L19/Datos!K19)*11)/factor_trimestre," - ")))</f>
        <v>10.523693803159174</v>
      </c>
      <c r="AP19" s="980" t="str">
        <f>IF(ISNUMBER(Datos!CI19/Datos!CJ19),Datos!CI19/Datos!CJ19," - ")</f>
        <v xml:space="preserve"> - </v>
      </c>
      <c r="AQ19" s="980">
        <f>IF(OR(ISNUMBER(FIND("01",Criterios!A8,1)),ISNUMBER(FIND("02",Criterios!A8,1)),ISNUMBER(FIND("03",Criterios!A8,1)),ISNUMBER(FIND("04",Criterios!A8,1))),(J19-Y19+K19)/(F19-K19),(I19-Y19+K19)/(F19-K19))</f>
        <v>-0.94072948328267481</v>
      </c>
      <c r="AR19" s="980">
        <f>IF(ISNUMBER((Datos!P19-Datos!Q19+O19)/(Datos!R19-Datos!P19+Datos!Q19-O19)),(Datos!P19-Datos!Q19+O19)/(Datos!R19-Datos!P19+Datos!Q19-O19)," - ")</f>
        <v>9.683098591549295E-3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369.50417228136052</v>
      </c>
      <c r="G21" s="600">
        <f>IF(ISNUMBER(STDEV(G8:G18)),STDEV(G8:G18),"-")</f>
        <v>295.42207094257532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31.048349392520048</v>
      </c>
      <c r="AK21" s="256"/>
      <c r="AL21" s="256">
        <f>IF(ISNUMBER(STDEV(AL8:AL18)),STDEV(AL8:AL18),"-")</f>
        <v>0</v>
      </c>
      <c r="AM21" s="258">
        <f>IF(ISNUMBER(STDEV(AM8:AM18)),STDEV(AM8:AM18),"-")</f>
        <v>0</v>
      </c>
      <c r="AN21" s="586">
        <f>IF(ISNUMBER(STDEV(AN8:AN18)),STDEV(AN8:AN18),"-")</f>
        <v>0</v>
      </c>
      <c r="AO21" s="587">
        <f>IF(ISNUMBER(STDEV(AO8:AO18)),STDEV(AO8:AO18),"-")</f>
        <v>12.3997632113129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ah+31Rdclt1qLTwT6Cu4aV51G5Vooo4V+KYVl2KMzDhxweg2yFdB8Cw/cRjUu8XtEhrKIxuRuEC7rFeRh9HZg==" saltValue="Snc+neFtynXCA1iIgD2e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6MglmgHNvzwgbt2A4BMNjoZMqxNHkcHagi4IbLgSEw4ZzixQYP88FYnCXRBS7Gqnq6h/72qb6+nr01LFSg55A==" saltValue="vdmkOCgrc7BwVxvUc7Xr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eQiPHP0T0DQ5f0f5Fej/XkPdjOLvMxBShOdFOvb3ZVdV1tS9geGQMXL+9K0g05xGZPiuVVghD3IOLnA3qhP1g==" saltValue="gFuhuN940XsM5dfPqNv4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RONDA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0.26666666666666666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0.18856180831641267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UJhwmBP/WR7E8ndMaKDsvetP4VNRAzDur2jBAR4fc8exBTBrhlRV9fJUAEuHHIaiQmavIT2QsyCeUCbRxdYhA==" saltValue="ds1QEikZ04iHovUl+sEY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xfeDnoDX4fgSm6QWMPOcLi5qT4l35n6bgb9uTNQU+wmiBPmvq7wlVOuXrqIy5ezUrzq+iegEWu924iq6WLiRA==" saltValue="VKvw0gdyAwrfXV9SGXU1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RONDA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2</v>
      </c>
      <c r="F10" s="415">
        <f>IF(ISNUMBER(E10/B10),E10/B10," - ")</f>
        <v>2</v>
      </c>
      <c r="G10" s="414">
        <f>IF(ISNUMBER(Datos!K10),Datos!K10," - ")</f>
        <v>3</v>
      </c>
      <c r="H10" s="415">
        <f>IF(ISNUMBER(G10/B10),G10/B10," - ")</f>
        <v>3</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1885</v>
      </c>
      <c r="D12" s="415">
        <f>IF(ISNUMBER(C12/Datos!BH12),C12/Datos!BH12," - ")</f>
        <v>628.33333333333337</v>
      </c>
      <c r="E12" s="414">
        <f>IF(ISNUMBER(IF(J_V="SI",Datos!J12,Datos!J12+Datos!Z12)),IF(J_V="SI",Datos!J12,Datos!J12+Datos!Z12)," - ")</f>
        <v>565</v>
      </c>
      <c r="F12" s="415">
        <f>IF(ISNUMBER(E12/B12),E12/B12," - ")</f>
        <v>188.33333333333334</v>
      </c>
      <c r="G12" s="414">
        <f>IF(ISNUMBER(IF(J_V="SI",Datos!K12,Datos!K12+Datos!AA12)),IF(J_V="SI",Datos!K12,Datos!K12+Datos!AA12)," - ")</f>
        <v>237</v>
      </c>
      <c r="H12" s="415">
        <f>IF(ISNUMBER(G12/B12),G12/B12," - ")</f>
        <v>79</v>
      </c>
      <c r="I12" s="414">
        <f>IF(ISNUMBER(IF(J_V="SI",Datos!L12,Datos!L12+Datos!AB12)),IF(J_V="SI",Datos!L12,Datos!L12+Datos!AB12)," - ")</f>
        <v>2213</v>
      </c>
      <c r="J12" s="415">
        <f>IF(ISNUMBER(I12/B12),I12/B12," - ")</f>
        <v>737.66666666666663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1894</v>
      </c>
      <c r="D13" s="996" t="str">
        <f>IF(ISNUMBER(C13/Datos!BI13),C13/Datos!BI13," - ")</f>
        <v xml:space="preserve"> - </v>
      </c>
      <c r="E13" s="995">
        <f>SUBTOTAL(9,E8:E12)</f>
        <v>567</v>
      </c>
      <c r="F13" s="996">
        <f>IF(ISNUMBER(E13/B13),E13/B13," - ")</f>
        <v>189</v>
      </c>
      <c r="G13" s="995">
        <f>SUBTOTAL(9,G8:G12)</f>
        <v>240</v>
      </c>
      <c r="H13" s="996">
        <f>IF(ISNUMBER(G13/B13),G13/B13," - ")</f>
        <v>80</v>
      </c>
      <c r="I13" s="995">
        <f>SUBTOTAL(9,I8:I12)</f>
        <v>2221</v>
      </c>
      <c r="J13" s="996">
        <f>IF(ISNUMBER(I13/B13),I13/B13," - ")</f>
        <v>740.33333333333337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540</v>
      </c>
      <c r="D16" s="415">
        <f>IF(ISNUMBER(C16/Datos!BH16),C16/Datos!BH16," - ")</f>
        <v>180</v>
      </c>
      <c r="E16" s="414">
        <f>IF(ISNUMBER(IF(D_I="SI",Datos!J16,Datos!J16+Datos!AD16)),IF(D_I="SI",Datos!J16,Datos!J16+Datos!AD16)," - ")</f>
        <v>663</v>
      </c>
      <c r="F16" s="415">
        <f>IF(ISNUMBER(E16/B16),E16/B16," - ")</f>
        <v>221</v>
      </c>
      <c r="G16" s="414">
        <f>IF(ISNUMBER(IF(D_I="SI",Datos!K16,Datos!K16+Datos!AE16)),IF(D_I="SI",Datos!K16,Datos!K16+Datos!AE16)," - ")</f>
        <v>562</v>
      </c>
      <c r="H16" s="415">
        <f>IF(ISNUMBER(G16/B16),G16/B16," - ")</f>
        <v>187.33333333333334</v>
      </c>
      <c r="I16" s="414">
        <f>IF(ISNUMBER(IF(D_I="SI",Datos!L16,Datos!L16+Datos!AF16)),IF(D_I="SI",Datos!L16,Datos!L16+Datos!AF16)," - ")</f>
        <v>750</v>
      </c>
      <c r="J16" s="415">
        <f>IF(ISNUMBER(I16/B16),I16/B16," - ")</f>
        <v>250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v>
      </c>
      <c r="D17" s="415">
        <f>IF(ISNUMBER(C17/Datos!BH17),C17/Datos!BH17," - ")</f>
        <v>29</v>
      </c>
      <c r="E17" s="414">
        <f>IF(ISNUMBER(IF(D_I="SI",Datos!J17,Datos!J17+Datos!AD17)),IF(D_I="SI",Datos!J17,Datos!J17+Datos!AD17)," - ")</f>
        <v>47</v>
      </c>
      <c r="F17" s="415">
        <f>IF(ISNUMBER(E17/B17),E17/B17," - ")</f>
        <v>47</v>
      </c>
      <c r="G17" s="414">
        <f>IF(ISNUMBER(IF(D_I="SI",Datos!K17,Datos!K17+Datos!AE17)),IF(D_I="SI",Datos!K17,Datos!K17+Datos!AE17)," - ")</f>
        <v>54</v>
      </c>
      <c r="H17" s="415">
        <f>IF(ISNUMBER(G17/B17),G17/B17," - ")</f>
        <v>54</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569</v>
      </c>
      <c r="D18" s="996" t="str">
        <f>IF(ISNUMBER(C18/Datos!BI18),C18/Datos!BI18," - ")</f>
        <v xml:space="preserve"> - </v>
      </c>
      <c r="E18" s="995">
        <f>SUBTOTAL(9,E14:E17)</f>
        <v>710</v>
      </c>
      <c r="F18" s="996">
        <f>IF(ISNUMBER(E18/B18),E18/B18," - ")</f>
        <v>236.66666666666666</v>
      </c>
      <c r="G18" s="995">
        <f>SUBTOTAL(9,G14:G17)</f>
        <v>616</v>
      </c>
      <c r="H18" s="996">
        <f>IF(ISNUMBER(G18/B18),G18/B18," - ")</f>
        <v>205.33333333333334</v>
      </c>
      <c r="I18" s="995">
        <f>SUBTOTAL(9,I14:I17)</f>
        <v>772</v>
      </c>
      <c r="J18" s="996">
        <f>IF(ISNUMBER(I18/B18),I18/B18," - ")</f>
        <v>257.33333333333331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2463</v>
      </c>
      <c r="D19" s="941" t="str">
        <f>IF(ISNUMBER(C19/Datos!BI19),C19/Datos!BI19," - ")</f>
        <v xml:space="preserve"> - </v>
      </c>
      <c r="E19" s="940">
        <f>SUBTOTAL(9,E9:E18)</f>
        <v>1277</v>
      </c>
      <c r="F19" s="941">
        <f>IF(ISNUMBER(E19/B19),E19/B19," - ")</f>
        <v>425.66666666666669</v>
      </c>
      <c r="G19" s="940">
        <f>SUBTOTAL(9,G9:G18)</f>
        <v>856</v>
      </c>
      <c r="H19" s="941">
        <f>IF(ISNUMBER(G19/B19),G19/B19," - ")</f>
        <v>285.33333333333331</v>
      </c>
      <c r="I19" s="940">
        <f>SUBTOTAL(9,I9:I18)</f>
        <v>2993</v>
      </c>
      <c r="J19" s="941">
        <f>IF(ISNUMBER(I19/B19),I19/B19," - ")</f>
        <v>997.66666666666663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u/ZMdqVnePNLIpGY2xfQ9+D7vyTRLYQo7x8mX1upIkMTZHIs/1RUFoCCM4ZAGUfpW0P8Zas7eS41NonSdjrjg==" saltValue="j7X4X36nFjrnceq4wXS3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RONDA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2199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62</v>
      </c>
      <c r="AM12" s="810">
        <f>IF(ISNUMBER(Datos!N12+DatosP!N16),Datos!N12+DatosP!N16," - ")</f>
        <v>58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28.012658227848103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2.2315202231520222E-2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86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38</v>
      </c>
      <c r="AE13" s="1085">
        <f t="shared" si="1"/>
        <v>0</v>
      </c>
      <c r="AF13" s="1085">
        <f t="shared" si="1"/>
        <v>8</v>
      </c>
      <c r="AG13" s="1085">
        <f t="shared" si="1"/>
        <v>0</v>
      </c>
      <c r="AH13" s="1085">
        <f t="shared" si="1"/>
        <v>2199</v>
      </c>
      <c r="AI13" s="1085">
        <f t="shared" si="1"/>
        <v>0</v>
      </c>
      <c r="AJ13" s="1085">
        <f t="shared" si="1"/>
        <v>0</v>
      </c>
      <c r="AK13" s="1085">
        <f t="shared" si="1"/>
        <v>0</v>
      </c>
      <c r="AL13" s="1085">
        <f t="shared" si="1"/>
        <v>64</v>
      </c>
      <c r="AM13" s="1085">
        <f t="shared" si="1"/>
        <v>58</v>
      </c>
      <c r="AN13" s="1085">
        <f t="shared" si="1"/>
        <v>0</v>
      </c>
      <c r="AO13" s="1085">
        <f t="shared" si="1"/>
        <v>0</v>
      </c>
      <c r="AP13" s="1090">
        <f>IF(ISNUMBER(((Datos!L13/Datos!K13)*11)/factor_trimestre),((Datos!L13/Datos!K13)*11)/factor_trimestre," - ")</f>
        <v>30.65217391304348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2.2315202231520222E-2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3.7597402597402603</v>
      </c>
      <c r="AQ18" s="1090">
        <f>IF(ISNUMBER(((Datos!M18/Datos!L18)*11)/factor_trimestre),((Datos!M18/Datos!L18)*11)/factor_trimestre," - ")</f>
        <v>0.22927461139896371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-0.21487603305785125</v>
      </c>
      <c r="AW18" s="1092">
        <f>IF(ISNUMBER((Datos!Q18-Datos!R18)/(Datos!S18-Datos!Q18+Datos!R18)),(Datos!Q18-Datos!R18)/(Datos!S18-Datos!Q18+Datos!R18)," - ")</f>
        <v>-0.10108864696734059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86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38</v>
      </c>
      <c r="AE19" s="1103">
        <f t="shared" si="5"/>
        <v>0</v>
      </c>
      <c r="AF19" s="1104">
        <f t="shared" si="5"/>
        <v>8</v>
      </c>
      <c r="AG19" s="1104">
        <f t="shared" si="5"/>
        <v>0</v>
      </c>
      <c r="AH19" s="1104">
        <f t="shared" si="5"/>
        <v>2199</v>
      </c>
      <c r="AI19" s="1104">
        <f t="shared" si="5"/>
        <v>0</v>
      </c>
      <c r="AJ19" s="1105">
        <f t="shared" si="5"/>
        <v>0</v>
      </c>
      <c r="AK19" s="1105">
        <f t="shared" si="5"/>
        <v>0</v>
      </c>
      <c r="AL19" s="1097">
        <f t="shared" si="5"/>
        <v>64</v>
      </c>
      <c r="AM19" s="1097">
        <f t="shared" si="5"/>
        <v>58</v>
      </c>
      <c r="AN19" s="1097">
        <f t="shared" si="5"/>
        <v>0</v>
      </c>
      <c r="AO19" s="1097">
        <f t="shared" si="5"/>
        <v>0</v>
      </c>
      <c r="AP19" s="1097">
        <f>IF(ISNUMBER(((Datos!L19/Datos!K19)*11)/factor_trimestre),((Datos!L19/Datos!K19)*11)/factor_trimestre," - ")</f>
        <v>10.523693803159174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9.683098591549295E-3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35.814336049502117</v>
      </c>
      <c r="AM21" s="869"/>
      <c r="AN21" s="869">
        <f>IF(ISNUMBER(STDEV(AN8:AN18)),STDEV(AN8:AN18),"-")</f>
        <v>0</v>
      </c>
      <c r="AO21" s="875">
        <f>IF(ISNUMBER(STDEV(AO8:AO18)),STDEV(AO8:AO18),"-")</f>
        <v>0</v>
      </c>
      <c r="AP21" s="922">
        <f>IF(ISNUMBER(STDEV(AP8:AP18)),STDEV(AP8:AP18),"-")</f>
        <v>13.693007144201282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NPStPx+0IafvFAInpgIq83FkCywL+Gq/uGkCrPhs0C3rNLL74doZFt0UX5TflGDt9qakpfpKURbduyypBF6bQ==" saltValue="q8c4VlplD8d0vk3u7NGj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RONDA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pQscCjYVmVu5uJDeofwQt9Pzc9OU1BOmqqVN/qSCykifp/5kF5Qsiez1PwnS6+9bHqiXpNlv8fWUfpCn1VNOA==" saltValue="T8VPyX+IN4u41L/UwEJI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RONDA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62</v>
      </c>
      <c r="E12" s="415">
        <f t="shared" si="0"/>
        <v>20.666666666666668</v>
      </c>
      <c r="F12" s="414">
        <f>IF(ISNUMBER(Datos!N12),Datos!N12," - ")</f>
        <v>58</v>
      </c>
      <c r="G12" s="415">
        <f t="shared" si="1"/>
        <v>19.333333333333332</v>
      </c>
      <c r="H12" s="414">
        <f>IF(ISNUMBER(Datos!O12),Datos!O12," - ")</f>
        <v>124</v>
      </c>
      <c r="I12" s="415">
        <f t="shared" si="2"/>
        <v>41.333333333333336</v>
      </c>
    </row>
    <row r="13" spans="1:9" ht="14.25" thickTop="1" thickBot="1">
      <c r="A13" s="994" t="str">
        <f>Datos!A13</f>
        <v>TOTAL</v>
      </c>
      <c r="B13" s="995">
        <f>Datos!AO13</f>
        <v>4</v>
      </c>
      <c r="C13" s="997">
        <f>Datos!AR13</f>
        <v>3</v>
      </c>
      <c r="D13" s="995">
        <f>SUBTOTAL(9,D9:D12)</f>
        <v>64</v>
      </c>
      <c r="E13" s="996">
        <f t="shared" si="0"/>
        <v>16</v>
      </c>
      <c r="F13" s="995">
        <f>SUBTOTAL(9,F9:F12)</f>
        <v>58</v>
      </c>
      <c r="G13" s="996">
        <f t="shared" si="1"/>
        <v>14.5</v>
      </c>
      <c r="H13" s="995">
        <f>SUBTOTAL(9,H9:H12)</f>
        <v>125</v>
      </c>
      <c r="I13" s="996">
        <f>IF(ISNUMBER(H13/B13),H13/B13," - ")</f>
        <v>31.25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59</v>
      </c>
      <c r="E16" s="415">
        <f t="shared" si="3"/>
        <v>19.666666666666668</v>
      </c>
      <c r="F16" s="414">
        <f>IF(ISNUMBER(Datos!N16),Datos!N16," - ")</f>
        <v>330</v>
      </c>
      <c r="G16" s="415">
        <f t="shared" si="4"/>
        <v>110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37</v>
      </c>
      <c r="G17" s="415">
        <f>IF(ISNUMBER(F17/B17),F17/B17," - ")</f>
        <v>37</v>
      </c>
      <c r="H17" s="414">
        <f>IF(ISNUMBER(Datos!O17),Datos!O17," - ")</f>
        <v>0</v>
      </c>
      <c r="I17" s="415">
        <f t="shared" si="5"/>
        <v>0</v>
      </c>
    </row>
    <row r="18" spans="1:9" ht="14.25" thickTop="1" thickBot="1">
      <c r="A18" s="994" t="str">
        <f>Datos!A18</f>
        <v>TOTAL</v>
      </c>
      <c r="B18" s="995">
        <f>Datos!AO18</f>
        <v>4</v>
      </c>
      <c r="C18" s="997">
        <f>Datos!AR18</f>
        <v>3</v>
      </c>
      <c r="D18" s="995">
        <f>SUBTOTAL(9,D15:D17)</f>
        <v>59</v>
      </c>
      <c r="E18" s="996">
        <f t="shared" si="3"/>
        <v>14.75</v>
      </c>
      <c r="F18" s="995">
        <f>SUBTOTAL(9,F15:F17)</f>
        <v>367</v>
      </c>
      <c r="G18" s="996">
        <f t="shared" si="4"/>
        <v>91.75</v>
      </c>
      <c r="H18" s="995">
        <f>SUBTOTAL(9,H15:H17)</f>
        <v>0</v>
      </c>
      <c r="I18" s="996">
        <f>IF(ISNUMBER(H18/B18),H18/B18," - ")</f>
        <v>0</v>
      </c>
    </row>
    <row r="19" spans="1:9" ht="14.25" thickTop="1" thickBot="1">
      <c r="A19" s="939" t="str">
        <f>Datos!A19</f>
        <v>TOTAL JURISDICCIONES</v>
      </c>
      <c r="B19" s="940">
        <f>Datos!AP19</f>
        <v>3</v>
      </c>
      <c r="C19" s="940">
        <f>Datos!AR19</f>
        <v>3</v>
      </c>
      <c r="D19" s="940">
        <f>SUBTOTAL(9,D8:D18)</f>
        <v>123</v>
      </c>
      <c r="E19" s="941">
        <f>IF(ISNUMBER(D19/B19),D19/B19," - ")</f>
        <v>41</v>
      </c>
      <c r="F19" s="940">
        <f>SUBTOTAL(9,F8:F18)</f>
        <v>425</v>
      </c>
      <c r="G19" s="941">
        <f>IF(ISNUMBER(F19/B19),F19/B19," - ")</f>
        <v>141.66666666666666</v>
      </c>
      <c r="H19" s="940">
        <f>SUBTOTAL(9,H8:H18)</f>
        <v>125</v>
      </c>
      <c r="I19" s="941">
        <f>IF(ISNUMBER(H19/B19),H19/B19," - ")</f>
        <v>41.666666666666664</v>
      </c>
    </row>
    <row r="22" spans="1:9">
      <c r="A22" s="402" t="str">
        <f>Criterios!A4</f>
        <v>Fecha Informe: 06 oct. 2023</v>
      </c>
    </row>
    <row r="27" spans="1:9">
      <c r="A27" s="425"/>
    </row>
  </sheetData>
  <sheetProtection algorithmName="SHA-512" hashValue="fhlyPp37XiVG6gwm66R7vapXOER6lUOrXZZyk3FcIkyS81NMbn0Y6m1BSFxh+NijFJ+Yx82Ub6btVmr4CHSu8w==" saltValue="QZKTgxFG02Mp+6lUogZ3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RONDA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86</v>
      </c>
      <c r="C12" s="450">
        <f>IF(ISNUMBER(Datos!Q12),Datos!Q12," - ")</f>
        <v>38</v>
      </c>
      <c r="D12" s="419">
        <f>IF(ISNUMBER(Datos!R12),Datos!R12," - ")</f>
        <v>2199</v>
      </c>
    </row>
    <row r="13" spans="1:4" ht="14.25" thickTop="1" thickBot="1">
      <c r="A13" s="994" t="str">
        <f>Datos!A13</f>
        <v>TOTAL</v>
      </c>
      <c r="B13" s="995">
        <f>SUBTOTAL(9,B9:B12)</f>
        <v>86</v>
      </c>
      <c r="C13" s="999">
        <f>SUBTOTAL(9,C9:C12)</f>
        <v>38</v>
      </c>
      <c r="D13" s="997">
        <f>SUBTOTAL(9,D9:D12)</f>
        <v>2199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28</v>
      </c>
      <c r="D16" s="419">
        <f>IF(ISNUMBER(Datos!R16),Datos!R16," - ")</f>
        <v>90</v>
      </c>
    </row>
    <row r="17" spans="1:4" ht="13.5" thickBot="1">
      <c r="A17" s="413" t="str">
        <f>Datos!A17</f>
        <v>Jdos. Violencia contra la mujer</v>
      </c>
      <c r="B17" s="449">
        <f>IF(ISNUMBER(Datos!P17),Datos!P17," - ")</f>
        <v>2</v>
      </c>
      <c r="C17" s="450">
        <f>IF(ISNUMBER(Datos!Q17),Datos!Q17," - ")</f>
        <v>2</v>
      </c>
      <c r="D17" s="419">
        <f>IF(ISNUMBER(Datos!R17),Datos!R17," - ")</f>
        <v>5</v>
      </c>
    </row>
    <row r="18" spans="1:4" ht="14.25" thickTop="1" thickBot="1">
      <c r="A18" s="994" t="str">
        <f>Datos!A18</f>
        <v>TOTAL</v>
      </c>
      <c r="B18" s="995">
        <f>SUBTOTAL(9,B15:B17)</f>
        <v>4</v>
      </c>
      <c r="C18" s="999">
        <f>SUBTOTAL(9,C15:C17)</f>
        <v>30</v>
      </c>
      <c r="D18" s="997">
        <f>SUBTOTAL(9,D15:D17)</f>
        <v>95</v>
      </c>
    </row>
    <row r="19" spans="1:4" ht="16.5" customHeight="1" thickTop="1" thickBot="1">
      <c r="A19" s="939" t="str">
        <f>Datos!A19</f>
        <v>TOTAL JURISDICCIONES</v>
      </c>
      <c r="B19" s="944">
        <f>SUBTOTAL(9,B8:B18)</f>
        <v>90</v>
      </c>
      <c r="C19" s="945">
        <f>SUBTOTAL(9,C8:C18)</f>
        <v>68</v>
      </c>
      <c r="D19" s="946">
        <f>SUBTOTAL(9,D8:D18)</f>
        <v>2294</v>
      </c>
    </row>
    <row r="20" spans="1:4" ht="7.5" customHeight="1"/>
    <row r="21" spans="1:4" ht="6" customHeight="1"/>
    <row r="22" spans="1:4">
      <c r="A22" s="402" t="str">
        <f>Criterios!A4</f>
        <v>Fecha Informe: 06 oct. 2023</v>
      </c>
    </row>
    <row r="27" spans="1:4">
      <c r="A27" s="425"/>
    </row>
  </sheetData>
  <sheetProtection algorithmName="SHA-512" hashValue="ZD5o7E5rKNW30u8vO+Do8iDBexUdOCkd6110a+45EJ3/2y54UEi3zWhPw04HwY7g76pZP4IzEN1326C4eah5kw==" saltValue="WZFMd1j/TTi1v1ZrWFUx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RONDA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v>
      </c>
      <c r="D10" s="472" t="str">
        <f>IF(ISNUMBER((Datos!K10-Datos!U10)/Datos!U10),(Datos!K10-Datos!U10)/Datos!U10," - ")</f>
        <v xml:space="preserve"> - </v>
      </c>
      <c r="E10" s="472">
        <f>IF(ISNUMBER((Datos!L10-Datos!V10)/Datos!V10),(Datos!L10-Datos!V10)/Datos!V10," - ")</f>
        <v>3</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0.5287915652879156</v>
      </c>
      <c r="C12" s="472">
        <f>IF(ISNUMBER(
   IF(J_V="SI",(Datos!J12-Datos!T12)/Datos!T12,(Datos!J12+Datos!Z12-(Datos!T12+Datos!AH12))/(Datos!T12+Datos!AH12))
     ),IF(J_V="SI",(Datos!J12-Datos!T12)/Datos!T12,(Datos!J12+Datos!Z12-(Datos!T12+Datos!AH12))/(Datos!T12+Datos!AH12))," - ")</f>
        <v>-1.2237762237762238E-2</v>
      </c>
      <c r="D12" s="472">
        <f>IF(ISNUMBER(
   IF(J_V="SI",(Datos!K12-Datos!U12)/Datos!U12,(Datos!K12+Datos!AA12-(Datos!U12+Datos!AI12))/(Datos!U12+Datos!AI12))
     ),IF(J_V="SI",(Datos!K12-Datos!U12)/Datos!U12,(Datos!K12+Datos!AA12-(Datos!U12+Datos!AI12))/(Datos!U12+Datos!AI12))," - ")</f>
        <v>-0.5072765072765073</v>
      </c>
      <c r="E12" s="472">
        <f>IF(ISNUMBER(
   IF(J_V="SI",(Datos!L12-Datos!V12)/Datos!V12,(Datos!L12+Datos!AB12-(Datos!V12+Datos!AJ12))/(Datos!V12+Datos!AJ12))
     ),IF(J_V="SI",(Datos!L12-Datos!V12)/Datos!V12,(Datos!L12+Datos!AB12-(Datos!V12+Datos!AJ12))/(Datos!V12+Datos!AJ12))," - ")</f>
        <v>0.509549795361528</v>
      </c>
      <c r="F12" s="472">
        <f>IF(ISNUMBER((Datos!M12-Datos!W12)/Datos!W12),(Datos!M12-Datos!W12)/Datos!W12," - ")</f>
        <v>-0.3473684210526316</v>
      </c>
      <c r="G12" s="473">
        <f>IF(ISNUMBER((Datos!N12-Datos!X12)/Datos!X12),(Datos!N12-Datos!X12)/Datos!X12," - ")</f>
        <v>-0.74222222222222223</v>
      </c>
      <c r="H12" s="471">
        <f>IF(ISNUMBER(((NºAsuntos!G12/NºAsuntos!E12)-Datos!BD12)/Datos!BD12),((NºAsuntos!G12/NºAsuntos!E12)-Datos!BD12)/Datos!BD12," - ")</f>
        <v>-0.50117196842860556</v>
      </c>
      <c r="I12" s="472">
        <f>IF(ISNUMBER(((NºAsuntos!I12/NºAsuntos!G12)-Datos!BE12)/Datos!BE12),((NºAsuntos!I12/NºAsuntos!G12)-Datos!BE12)/Datos!BE12," - ")</f>
        <v>2.0636854496577843</v>
      </c>
      <c r="J12" s="477">
        <f>IF(ISNUMBER((('Resol  Asuntos'!D12/NºAsuntos!G12)-Datos!BF12)/Datos!BF12),(('Resol  Asuntos'!D12/NºAsuntos!G12)-Datos!BF12)/Datos!BF12," - ")</f>
        <v>-0.44075011720581336</v>
      </c>
      <c r="K12" s="478">
        <f>IF(ISNUMBER((((NºAsuntos!C12+NºAsuntos!E12)/NºAsuntos!G12)-Datos!BG12)/Datos!BG12),(((NºAsuntos!C12+NºAsuntos!E12)/NºAsuntos!G12)-Datos!BG12)/Datos!BG12," - ")</f>
        <v>1.7547716726860456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0.5360908353609084</v>
      </c>
      <c r="C13" s="1001">
        <f>IF(ISNUMBER(
   IF(J_V="SI",(Datos!J13-Datos!T13)/Datos!T13,(Datos!J13+Datos!Z13-(Datos!T13+Datos!AH13))/(Datos!T13+Datos!AH13))
     ),IF(J_V="SI",(Datos!J13-Datos!T13)/Datos!T13,(Datos!J13+Datos!Z13-(Datos!T13+Datos!AH13))/(Datos!T13+Datos!AH13))," - ")</f>
        <v>-1.2195121951219513E-2</v>
      </c>
      <c r="D13" s="1001">
        <f>IF(ISNUMBER(
   IF(J_V="SI",(Datos!K13-Datos!U13)/Datos!U13,(Datos!K13+Datos!AA13-(Datos!U13+Datos!AI13))/(Datos!U13+Datos!AI13))
     ),IF(J_V="SI",(Datos!K13-Datos!U13)/Datos!U13,(Datos!K13+Datos!AA13-(Datos!U13+Datos!AI13))/(Datos!U13+Datos!AI13))," - ")</f>
        <v>-0.50103950103950101</v>
      </c>
      <c r="E13" s="1001">
        <f>IF(ISNUMBER(
   IF(J_V="SI",(Datos!L13-Datos!V13)/Datos!V13,(Datos!L13+Datos!AB13-(Datos!V13+Datos!AJ13))/(Datos!V13+Datos!AJ13))
     ),IF(J_V="SI",(Datos!L13-Datos!V13)/Datos!V13,(Datos!L13+Datos!AB13-(Datos!V13+Datos!AJ13))/(Datos!V13+Datos!AJ13))," - ")</f>
        <v>0.51294277929155319</v>
      </c>
      <c r="F13" s="1002">
        <f>IF(ISNUMBER((Datos!M13-Datos!W13)/Datos!W13),(Datos!M13-Datos!W13)/Datos!W13," - ")</f>
        <v>-0.32631578947368423</v>
      </c>
      <c r="G13" s="1003">
        <f>IF(ISNUMBER((Datos!N13-Datos!X13)/Datos!X13),(Datos!N13-Datos!X13)/Datos!X13," - ")</f>
        <v>-0.74222222222222223</v>
      </c>
      <c r="H13" s="1003">
        <f>IF(ISNUMBER(((NºAsuntos!G13/NºAsuntos!E13)-Datos!BD13)/Datos!BD13),((NºAsuntos!G13/NºAsuntos!E13)-Datos!BD13)/Datos!BD13," - ")</f>
        <v>-0.4948794948794949</v>
      </c>
      <c r="I13" s="1003">
        <f>IF(ISNUMBER(((NºAsuntos!I13/NºAsuntos!G13)-Datos!BE13)/Datos!BE13),((NºAsuntos!I13/NºAsuntos!G13)-Datos!BE13)/Datos!BE13," - ")</f>
        <v>2.0321894868301542</v>
      </c>
      <c r="J13" s="1003">
        <f>IF(ISNUMBER((('Resol  Asuntos'!D13/NºAsuntos!G13)-Datos!BF13)/Datos!BF13),(('Resol  Asuntos'!D13/NºAsuntos!G13)-Datos!BF13)/Datos!BF13," - ")</f>
        <v>-0.42992592592592599</v>
      </c>
      <c r="K13" s="1003">
        <f>IF(ISNUMBER((((NºAsuntos!C13+NºAsuntos!E13)/NºAsuntos!G13)-Datos!BG13)/Datos!BG13),(((NºAsuntos!C13+NºAsuntos!E13)/NºAsuntos!G13)-Datos!BG13)/Datos!BG13," - ")</f>
        <v>1.7295263788968827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-2.8776978417266189E-2</v>
      </c>
      <c r="C16" s="472">
        <f>IF(ISNUMBER(
   IF(D_I="SI",(Datos!J16-Datos!T16)/Datos!T16,(Datos!J16+Datos!AD16-(Datos!T16+Datos!AL16))/(Datos!T16+Datos!AL16))
     ),IF(D_I="SI",(Datos!J16-Datos!T16)/Datos!T16,(Datos!J16+Datos!AD16-(Datos!T16+Datos!AL16))/(Datos!T16+Datos!AL16))," - ")</f>
        <v>-6.6197183098591544E-2</v>
      </c>
      <c r="D16" s="472">
        <f>IF(ISNUMBER(
   IF(D_I="SI",(Datos!K16-Datos!U16)/Datos!U16,(Datos!K16+Datos!AE16-(Datos!U16+Datos!AM16))/(Datos!U16+Datos!AM16))
     ),IF(D_I="SI",(Datos!K16-Datos!U16)/Datos!U16,(Datos!K16+Datos!AE16-(Datos!U16+Datos!AM16))/(Datos!U16+Datos!AM16))," - ")</f>
        <v>-8.0196399345335512E-2</v>
      </c>
      <c r="E16" s="472">
        <f>IF(ISNUMBER(
   IF(D_I="SI",(Datos!L16-Datos!V16)/Datos!V16,(Datos!L16+Datos!AF16-(Datos!V16+Datos!AN16))/(Datos!V16+Datos!AN16))
     ),IF(D_I="SI",(Datos!L16-Datos!V16)/Datos!V16,(Datos!L16+Datos!AF16-(Datos!V16+Datos!AN16))/(Datos!V16+Datos!AN16))," - ")</f>
        <v>0.25418060200668896</v>
      </c>
      <c r="F16" s="472">
        <f>IF(ISNUMBER((Datos!M16-Datos!W16)/Datos!W16),(Datos!M16-Datos!W16)/Datos!W16," - ")</f>
        <v>-0.23376623376623376</v>
      </c>
      <c r="G16" s="473">
        <f>IF(ISNUMBER((Datos!N16-Datos!X16)/Datos!X16),(Datos!N16-Datos!X16)/Datos!X16," - ")</f>
        <v>-9.0909090909090912E-2</v>
      </c>
      <c r="H16" s="471">
        <f>IF(ISNUMBER(((NºAsuntos!G16/NºAsuntos!E16)-Datos!BD16)/Datos!BD16),((NºAsuntos!G16/NºAsuntos!E16)-Datos!BD16)/Datos!BD16," - ")</f>
        <v>-1.4991619208428656E-2</v>
      </c>
      <c r="I16" s="472">
        <f>IF(ISNUMBER(((NºAsuntos!I16/NºAsuntos!G16)-Datos!BE16)/Datos!BE16),((NºAsuntos!I16/NºAsuntos!G16)-Datos!BE16)/Datos!BE16," - ")</f>
        <v>0.36353086801794837</v>
      </c>
      <c r="J16" s="477">
        <f>IF(ISNUMBER((('Resol  Asuntos'!D16/NºAsuntos!G16)-Datos!BF16)/Datos!BF16),(('Resol  Asuntos'!D16/NºAsuntos!G16)-Datos!BF16)/Datos!BF16," - ")</f>
        <v>-0.16695937514442852</v>
      </c>
      <c r="K16" s="478">
        <f>IF(ISNUMBER((((NºAsuntos!C16+NºAsuntos!E16)/NºAsuntos!G16)-Datos!BG16)/Datos!BG16),(((NºAsuntos!C16+NºAsuntos!E16)/NºAsuntos!G16)-Datos!BG16)/Datos!BG16," - ")</f>
        <v>3.3086809127861001E-2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0.31818181818181818</v>
      </c>
      <c r="C17" s="472">
        <f>IF(ISNUMBER(
   IF(D_I="SI",(Datos!J17-Datos!T17)/Datos!T17,(Datos!J17+Datos!AD17-(Datos!T17+Datos!AL17))/(Datos!T17+Datos!AL17))
     ),IF(D_I="SI",(Datos!J17-Datos!T17)/Datos!T17,(Datos!J17+Datos!AD17-(Datos!T17+Datos!AL17))/(Datos!T17+Datos!AL17))," - ")</f>
        <v>0.11904761904761904</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-0.15384615384615385</v>
      </c>
      <c r="F17" s="472">
        <f>IF(ISNUMBER((Datos!M17-Datos!W17)/Datos!W17),(Datos!M17-Datos!W17)/Datos!W17," - ")</f>
        <v>-1</v>
      </c>
      <c r="G17" s="473">
        <f>IF(ISNUMBER((Datos!N17-Datos!X17)/Datos!X17),(Datos!N17-Datos!X17)/Datos!X17," - ")</f>
        <v>0.76190476190476186</v>
      </c>
      <c r="H17" s="471">
        <f>IF(ISNUMBER(((NºAsuntos!G17/NºAsuntos!E17)-Datos!BD17)/Datos!BD17),((NºAsuntos!G17/NºAsuntos!E17)-Datos!BD17)/Datos!BD17," - ")</f>
        <v>0.14893617021276606</v>
      </c>
      <c r="I17" s="472">
        <f>IF(ISNUMBER(((NºAsuntos!I17/NºAsuntos!G17)-Datos!BE17)/Datos!BE17),((NºAsuntos!I17/NºAsuntos!G17)-Datos!BE17)/Datos!BE17," - ")</f>
        <v>-0.34188034188034194</v>
      </c>
      <c r="J17" s="477">
        <f>IF(ISNUMBER((('Resol  Asuntos'!D17/NºAsuntos!G17)-Datos!BF17)/Datos!BF17),(('Resol  Asuntos'!D17/NºAsuntos!G17)-Datos!BF17)/Datos!BF17," - ")</f>
        <v>-1</v>
      </c>
      <c r="K17" s="478">
        <f>IF(ISNUMBER((((NºAsuntos!C17+NºAsuntos!E17)/NºAsuntos!G17)-Datos!BG17)/Datos!BG17),(((NºAsuntos!C17+NºAsuntos!E17)/NºAsuntos!G17)-Datos!BG17)/Datos!BG17," - ")</f>
        <v>-7.6388888888888812E-2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-1.5570934256055362E-2</v>
      </c>
      <c r="C18" s="1001">
        <f>IF(ISNUMBER(
   IF(Criterios!B14="SI",(Datos!J18-Datos!T18)/Datos!T18,(Datos!J18+Datos!AD18-(Datos!T18+Datos!AL18))/(Datos!T18+Datos!AL18))
     ),IF(Criterios!B14="SI",(Datos!J18-Datos!T18)/Datos!T18,(Datos!J18+Datos!AD18-(Datos!T18+Datos!AL18))/(Datos!T18+Datos!AL18))," - ")</f>
        <v>-5.5851063829787231E-2</v>
      </c>
      <c r="D18" s="1001">
        <f>IF(ISNUMBER(
   IF(Criterios!B14="SI",(Datos!K18-Datos!U18)/Datos!U18,(Datos!K18+Datos!AE18-(Datos!U18+Datos!AM18))/(Datos!U18+Datos!AM18))
     ),IF(Criterios!B14="SI",(Datos!K18-Datos!U18)/Datos!U18,(Datos!K18+Datos!AE18-(Datos!U18+Datos!AM18))/(Datos!U18+Datos!AM18))," - ")</f>
        <v>-5.6661562021439509E-2</v>
      </c>
      <c r="E18" s="1001">
        <f>IF(ISNUMBER(
   IF(Criterios!B14="SI",(Datos!L18-Datos!V18)/Datos!V18,(Datos!L18+Datos!AF18-(Datos!V18+Datos!AN18))/(Datos!V18+Datos!AN18))
     ),IF(Criterios!B14="SI",(Datos!L18-Datos!V18)/Datos!V18,(Datos!L18+Datos!AF18-(Datos!V18+Datos!AN18))/(Datos!V18+Datos!AN18))," - ")</f>
        <v>0.23717948717948717</v>
      </c>
      <c r="F18" s="1002">
        <f>IF(ISNUMBER((Datos!M18-Datos!W18)/Datos!W18),(Datos!M18-Datos!W18)/Datos!W18," - ")</f>
        <v>-0.25316455696202533</v>
      </c>
      <c r="G18" s="1003">
        <f>IF(ISNUMBER((Datos!N18-Datos!X18)/Datos!X18),(Datos!N18-Datos!X18)/Datos!X18," - ")</f>
        <v>-4.4270833333333336E-2</v>
      </c>
      <c r="H18" s="1003">
        <f>IF(ISNUMBER(((NºAsuntos!G18/NºAsuntos!E18)-Datos!BD18)/Datos!BD18),((NºAsuntos!G18/NºAsuntos!E18)-Datos!BD18)/Datos!BD18," - ")</f>
        <v>-8.5844315510216242E-4</v>
      </c>
      <c r="I18" s="1003">
        <f>IF(ISNUMBER(((NºAsuntos!I18/NºAsuntos!G18)-Datos!BE18)/Datos!BE18),((NºAsuntos!I18/NºAsuntos!G18)-Datos!BE18)/Datos!BE18," - ")</f>
        <v>0.31149059274059276</v>
      </c>
      <c r="J18" s="1003">
        <f>IF(ISNUMBER((('Resol  Asuntos'!D18/NºAsuntos!G18)-Datos!BF18)/Datos!BF18),(('Resol  Asuntos'!D18/NºAsuntos!G18)-Datos!BF18)/Datos!BF18," - ")</f>
        <v>-0.20830593457175728</v>
      </c>
      <c r="K18" s="1003">
        <f>IF(ISNUMBER((((NºAsuntos!C18+NºAsuntos!E18)/NºAsuntos!G18)-Datos!BG18)/Datos!BG18),(((NºAsuntos!C18+NºAsuntos!E18)/NºAsuntos!G18)-Datos!BG18)/Datos!BG18," - ")</f>
        <v>1.9415828532369801E-2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0.36002208724461621</v>
      </c>
      <c r="C19" s="948">
        <f>IF(ISNUMBER(
   IF(J_V="SI",(Datos!J19-Datos!T19)/Datos!T19,(Datos!J19+Datos!Z19-(Datos!T19+Datos!AH19))/(Datos!T19+Datos!AH19))
     ),IF(J_V="SI",(Datos!J19-Datos!T19)/Datos!T19,(Datos!J19+Datos!Z19-(Datos!T19+Datos!AH19))/(Datos!T19+Datos!AH19))," - ")</f>
        <v>-3.6953242835595777E-2</v>
      </c>
      <c r="D19" s="948">
        <f>IF(ISNUMBER(
   IF(J_V="SI",(Datos!K19-Datos!U19)/Datos!U19,(Datos!K19+Datos!AA19-(Datos!U19+Datos!AI19))/(Datos!U19+Datos!AI19))
     ),IF(J_V="SI",(Datos!K19-Datos!U19)/Datos!U19,(Datos!K19+Datos!AA19-(Datos!U19+Datos!AI19))/(Datos!U19+Datos!AI19))," - ")</f>
        <v>-0.24514991181657847</v>
      </c>
      <c r="E19" s="948">
        <f>IF(ISNUMBER(
   IF(J_V="SI",(Datos!L19-Datos!V19)/Datos!V19,(Datos!L19+Datos!AB19-(Datos!V19+Datos!AJ19))/(Datos!V19+Datos!AJ19))
     ),IF(J_V="SI",(Datos!L19-Datos!V19)/Datos!V19,(Datos!L19+Datos!AB19-(Datos!V19+Datos!AJ19))/(Datos!V19+Datos!AJ19))," - ")</f>
        <v>0.43068833652007649</v>
      </c>
      <c r="F19" s="949">
        <f>IF(ISNUMBER((Datos!M19-Datos!W19)/Datos!W19),(Datos!M19-Datos!W19)/Datos!W19," - ")</f>
        <v>-0.29310344827586204</v>
      </c>
      <c r="G19" s="950">
        <f>IF(ISNUMBER((Datos!N19-Datos!X19)/Datos!X19),(Datos!N19-Datos!X19)/Datos!X19," - ")</f>
        <v>-0.30213464696223319</v>
      </c>
      <c r="H19" s="951">
        <f>IF(ISNUMBER((Tasas!B19-Datos!BD19)/Datos!BD19),(Tasas!B19-Datos!BD19)/Datos!BD19," - ")</f>
        <v>-0.21618542135378468</v>
      </c>
      <c r="I19" s="952">
        <f>IF(ISNUMBER((Tasas!C19-Datos!BE19)/Datos!BE19),(Tasas!C19-Datos!BE19)/Datos!BE19," - ")</f>
        <v>0.89532777291327892</v>
      </c>
      <c r="J19" s="953">
        <f>IF(ISNUMBER((Tasas!D19-Datos!BF19)/Datos!BF19),(Tasas!D19-Datos!BF19)/Datos!BF19," - ")</f>
        <v>-0.46399256025577962</v>
      </c>
      <c r="K19" s="953">
        <f>IF(ISNUMBER((Tasas!E19-Datos!BG19)/Datos!BG19),(Tasas!E19-Datos!BG19)/Datos!BG19," - ")</f>
        <v>0.5794154186242586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5AMXltA2IkLeR+VHDfkZtzBl5FFjhLc1zbdVN+sKGFtbRMu1/b6BfkBRBeWD9F/ZKri1eLYUPwWH1vEwxE0cQ==" saltValue="vpFYKrWcrxVYdFh6prDN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RONDA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2.6666666666666665</v>
      </c>
      <c r="D10" s="460">
        <f>IF(ISNUMBER('Resol  Asuntos'!D10/NºAsuntos!G10),'Resol  Asuntos'!D10/NºAsuntos!G10," - ")</f>
        <v>0.66666666666666663</v>
      </c>
      <c r="E10" s="461">
        <f>IF(ISNUMBER((NºAsuntos!C10+NºAsuntos!E10)/NºAsuntos!G10),(NºAsuntos!C10+NºAsuntos!E10)/NºAsuntos!G10," - ")</f>
        <v>3.6666666666666665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0.41946902654867257</v>
      </c>
      <c r="C12" s="459">
        <f>IF(ISNUMBER(NºAsuntos!I12/NºAsuntos!G12),NºAsuntos!I12/NºAsuntos!G12," - ")</f>
        <v>9.3375527426160332</v>
      </c>
      <c r="D12" s="460">
        <f>IF(ISNUMBER('Resol  Asuntos'!D12/NºAsuntos!G12),'Resol  Asuntos'!D12/NºAsuntos!G12," - ")</f>
        <v>0.26160337552742619</v>
      </c>
      <c r="E12" s="461">
        <f>IF(ISNUMBER((NºAsuntos!C12+NºAsuntos!E12)/NºAsuntos!G12),(NºAsuntos!C12+NºAsuntos!E12)/NºAsuntos!G12," - ")</f>
        <v>10.337552742616033</v>
      </c>
      <c r="G12" s="479"/>
    </row>
    <row r="13" spans="1:7" ht="14.25" thickTop="1" thickBot="1">
      <c r="A13" s="994" t="str">
        <f>Datos!A13</f>
        <v>TOTAL</v>
      </c>
      <c r="B13" s="1004">
        <f>IF(ISNUMBER(NºAsuntos!G13/NºAsuntos!E13),NºAsuntos!G13/NºAsuntos!E13," - ")</f>
        <v>0.42328042328042326</v>
      </c>
      <c r="C13" s="1005">
        <f>IF(ISNUMBER(NºAsuntos!I13/NºAsuntos!G13),NºAsuntos!I13/NºAsuntos!G13," - ")</f>
        <v>9.2541666666666664</v>
      </c>
      <c r="D13" s="1006">
        <f>IF(ISNUMBER('Resol  Asuntos'!D13/NºAsuntos!G13),'Resol  Asuntos'!D13/NºAsuntos!G13," - ")</f>
        <v>0.26666666666666666</v>
      </c>
      <c r="E13" s="1007">
        <f>IF(ISNUMBER((NºAsuntos!C13+NºAsuntos!E13)/NºAsuntos!G13),(NºAsuntos!C13+NºAsuntos!E13)/NºAsuntos!G13," - ")</f>
        <v>10.254166666666666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0.84766214177978882</v>
      </c>
      <c r="C16" s="459">
        <f>IF(ISNUMBER(NºAsuntos!I16/NºAsuntos!G16),NºAsuntos!I16/NºAsuntos!G16," - ")</f>
        <v>1.3345195729537367</v>
      </c>
      <c r="D16" s="460">
        <f>IF(ISNUMBER('Resol  Asuntos'!D16/NºAsuntos!G16),'Resol  Asuntos'!D16/NºAsuntos!G16," - ")</f>
        <v>0.10498220640569395</v>
      </c>
      <c r="E16" s="461">
        <f>IF(ISNUMBER((NºAsuntos!C16+NºAsuntos!E16)/NºAsuntos!G16),(NºAsuntos!C16+NºAsuntos!E16)/NºAsuntos!G16," - ")</f>
        <v>2.1405693950177938</v>
      </c>
      <c r="G16" s="479"/>
    </row>
    <row r="17" spans="1:7" ht="13.5" thickBot="1">
      <c r="A17" s="413" t="str">
        <f>Datos!A17</f>
        <v>Jdos. Violencia contra la mujer</v>
      </c>
      <c r="B17" s="458">
        <f>IF(ISNUMBER(NºAsuntos!G17/NºAsuntos!E17),NºAsuntos!G17/NºAsuntos!E17," - ")</f>
        <v>1.1489361702127661</v>
      </c>
      <c r="C17" s="459">
        <f>IF(ISNUMBER(NºAsuntos!I17/NºAsuntos!G17),NºAsuntos!I17/NºAsuntos!G17," - ")</f>
        <v>0.40740740740740738</v>
      </c>
      <c r="D17" s="460">
        <f>IF(ISNUMBER('Resol  Asuntos'!D17/NºAsuntos!G17),'Resol  Asuntos'!D17/NºAsuntos!G17," - ")</f>
        <v>0</v>
      </c>
      <c r="E17" s="461">
        <f>IF(ISNUMBER((NºAsuntos!C17+NºAsuntos!E17)/NºAsuntos!G17),(NºAsuntos!C17+NºAsuntos!E17)/NºAsuntos!G17," - ")</f>
        <v>1.4074074074074074</v>
      </c>
      <c r="G17" s="479"/>
    </row>
    <row r="18" spans="1:7" ht="14.25" thickTop="1" thickBot="1">
      <c r="A18" s="994" t="str">
        <f>Datos!A18</f>
        <v>TOTAL</v>
      </c>
      <c r="B18" s="1004">
        <f>IF(ISNUMBER(NºAsuntos!G18/NºAsuntos!E18),NºAsuntos!G18/NºAsuntos!E18," - ")</f>
        <v>0.86760563380281686</v>
      </c>
      <c r="C18" s="1005">
        <f>IF(ISNUMBER(NºAsuntos!I18/NºAsuntos!G18),NºAsuntos!I18/NºAsuntos!G18," - ")</f>
        <v>1.2532467532467533</v>
      </c>
      <c r="D18" s="1008">
        <f>IF(ISNUMBER('Resol  Asuntos'!D18/NºAsuntos!G18),'Resol  Asuntos'!D18/NºAsuntos!G18," - ")</f>
        <v>9.5779220779220783E-2</v>
      </c>
      <c r="E18" s="1007">
        <f>IF(ISNUMBER((NºAsuntos!C18+NºAsuntos!E18)/NºAsuntos!G18),(NºAsuntos!C18+NºAsuntos!E18)/NºAsuntos!G18," - ")</f>
        <v>2.0762987012987013</v>
      </c>
      <c r="G18" s="479"/>
    </row>
    <row r="19" spans="1:7" ht="15.75" customHeight="1" thickTop="1" thickBot="1">
      <c r="A19" s="939" t="str">
        <f>Datos!A19</f>
        <v>TOTAL JURISDICCIONES</v>
      </c>
      <c r="B19" s="954">
        <f>IF(ISNUMBER(NºAsuntos!G19/NºAsuntos!E19),NºAsuntos!G19/NºAsuntos!E19," - ")</f>
        <v>0.67032106499608457</v>
      </c>
      <c r="C19" s="955">
        <f>IF(ISNUMBER(NºAsuntos!I19/NºAsuntos!G19),NºAsuntos!I19/NºAsuntos!G19," - ")</f>
        <v>3.4964953271028039</v>
      </c>
      <c r="D19" s="956">
        <f>IF(ISNUMBER('Resol  Asuntos'!D19/NºAsuntos!G19),'Resol  Asuntos'!D19/NºAsuntos!G19," - ")</f>
        <v>0.14369158878504673</v>
      </c>
      <c r="E19" s="957">
        <f>IF(ISNUMBER((NºAsuntos!C19+NºAsuntos!E19)/NºAsuntos!G19),(NºAsuntos!C19+NºAsuntos!E19)/NºAsuntos!G19," - ")</f>
        <v>4.3691588785046731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UugNIeCBD5DrnbufTlABFrS3VRZ4/T6qdJZ68LX3csskfiBLIZ7at5Bpc6NKzp7l0X8m+aZW82ZoHRaOGXWiA==" saltValue="IPVwqdzqwJzjnR0QFEZP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RONDA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8</v>
      </c>
      <c r="AB10" s="343">
        <f>IF(ISNUMBER(Datos!R10),Datos!R10," - ")</f>
        <v>0</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8</v>
      </c>
      <c r="AN10" s="248">
        <f>IF(ISNUMBER('Resol  Asuntos'!D10/NºAsuntos!G10),'Resol  Asuntos'!D10/NºAsuntos!G10," - ")</f>
        <v>0.66666666666666663</v>
      </c>
      <c r="AO10" s="249">
        <f>IF(ISNUMBER((NºAsuntos!C10+NºAsuntos!E10)/NºAsuntos!G10),(NºAsuntos!C10+NºAsuntos!E10)/NºAsuntos!G10," - ")</f>
        <v>3.6666666666666665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38</v>
      </c>
      <c r="Y12" s="343">
        <f t="shared" si="0"/>
        <v>38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2199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62</v>
      </c>
      <c r="AJ12" s="233" t="str">
        <f>IF(ISNUMBER(Datos!BW12),Datos!BW12," - ")</f>
        <v xml:space="preserve"> - </v>
      </c>
      <c r="AK12" s="232" t="str">
        <f>IF(ISNUMBER(Datos!BX12),Datos!BX12," - ")</f>
        <v xml:space="preserve"> - </v>
      </c>
      <c r="AL12" s="247">
        <f>IF(ISNUMBER(NºAsuntos!G12/NºAsuntos!E12),NºAsuntos!G12/NºAsuntos!E12," - ")</f>
        <v>0.41946902654867257</v>
      </c>
      <c r="AM12" s="264">
        <f>IF(ISNUMBER(((NºAsuntos!I12/NºAsuntos!G12)*11)/factor_trimestre),((NºAsuntos!I12/NºAsuntos!G12)*11)/factor_trimestre," - ")</f>
        <v>28.012658227848103</v>
      </c>
      <c r="AN12" s="248">
        <f>IF(ISNUMBER('Resol  Asuntos'!D12/NºAsuntos!G12),'Resol  Asuntos'!D12/NºAsuntos!G12," - ")</f>
        <v>0.26160337552742619</v>
      </c>
      <c r="AO12" s="249">
        <f>IF(ISNUMBER((NºAsuntos!C12+NºAsuntos!E12)/NºAsuntos!G12),(NºAsuntos!C12+NºAsuntos!E12)/NºAsuntos!G12," - ")</f>
        <v>10.337552742616033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9</v>
      </c>
      <c r="G13" s="1012">
        <f t="shared" si="3"/>
        <v>9</v>
      </c>
      <c r="H13" s="1011">
        <f t="shared" si="3"/>
        <v>0</v>
      </c>
      <c r="I13" s="1013">
        <f t="shared" si="3"/>
        <v>0</v>
      </c>
      <c r="J13" s="1013">
        <f t="shared" si="3"/>
        <v>0</v>
      </c>
      <c r="K13" s="1013">
        <f t="shared" si="3"/>
        <v>0</v>
      </c>
      <c r="L13" s="1013">
        <f t="shared" si="3"/>
        <v>86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38</v>
      </c>
      <c r="Y13" s="1014">
        <f t="shared" si="4"/>
        <v>41</v>
      </c>
      <c r="Z13" s="1014">
        <f t="shared" si="4"/>
        <v>0</v>
      </c>
      <c r="AA13" s="1014">
        <f t="shared" si="4"/>
        <v>8</v>
      </c>
      <c r="AB13" s="1014">
        <f t="shared" si="4"/>
        <v>2199</v>
      </c>
      <c r="AC13" s="1014">
        <f t="shared" si="4"/>
        <v>8</v>
      </c>
      <c r="AD13" s="1014">
        <f t="shared" si="4"/>
        <v>0</v>
      </c>
      <c r="AE13" s="1018">
        <f t="shared" si="4"/>
        <v>0</v>
      </c>
      <c r="AF13" s="1011">
        <f t="shared" si="4"/>
        <v>0</v>
      </c>
      <c r="AG13" s="1019">
        <f t="shared" si="4"/>
        <v>0</v>
      </c>
      <c r="AH13" s="1016">
        <f t="shared" si="4"/>
        <v>0</v>
      </c>
      <c r="AI13" s="1011">
        <f t="shared" si="4"/>
        <v>64</v>
      </c>
      <c r="AJ13" s="1013">
        <f t="shared" si="4"/>
        <v>0</v>
      </c>
      <c r="AK13" s="1016">
        <f>SUBTOTAL(9,AK9:AK12)</f>
        <v>0</v>
      </c>
      <c r="AL13" s="1020">
        <f>IF(ISNUMBER(NºAsuntos!G13/NºAsuntos!E13),NºAsuntos!G13/NºAsuntos!E13," - ")</f>
        <v>0.42328042328042326</v>
      </c>
      <c r="AM13" s="1020">
        <f>IF(ISNUMBER(((NºAsuntos!I13/NºAsuntos!G13)*11)/factor_trimestre),((NºAsuntos!I13/NºAsuntos!G13)*11)/factor_trimestre," - ")</f>
        <v>27.762500000000003</v>
      </c>
      <c r="AN13" s="1021">
        <f>IF(ISNUMBER('Resol  Asuntos'!D13/NºAsuntos!G13),'Resol  Asuntos'!D13/NºAsuntos!G13," - ")</f>
        <v>0.26666666666666666</v>
      </c>
      <c r="AO13" s="1022">
        <f>IF(ISNUMBER((NºAsuntos!C13+NºAsuntos!E13)/NºAsuntos!G13),(NºAsuntos!C13+NºAsuntos!E13)/NºAsuntos!G13," - ")</f>
        <v>10.254166666666666</v>
      </c>
      <c r="AP13" s="1023" t="str">
        <f t="shared" si="2"/>
        <v xml:space="preserve"> - </v>
      </c>
      <c r="AQ13" s="1023">
        <f>IF(ISNUMBER((H13-W13+K13)/(F13)),(H13-W13+K13)/(F13)," - ")</f>
        <v>-0.33333333333333331</v>
      </c>
      <c r="AR13" s="1024">
        <f>IF(ISNUMBER((Datos!P13-Datos!Q13)/(Datos!R13-Datos!P13+Datos!Q13)),(Datos!P13-Datos!Q13)/(Datos!R13-Datos!P13+Datos!Q13)," - ")</f>
        <v>2.2315202231520222E-2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649</v>
      </c>
      <c r="G16" s="342">
        <f>IF(ISNUMBER(IF(D_I="SI",Datos!I16,Datos!I16+Datos!AC16)),IF(D_I="SI",Datos!I16,Datos!I16+Datos!AC16)," - ")</f>
        <v>540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562</v>
      </c>
      <c r="X16" s="230">
        <f>IF(ISNUMBER(Datos!Q16),Datos!Q16," - ")</f>
        <v>28</v>
      </c>
      <c r="Y16" s="343">
        <f t="shared" ref="Y16:Y17" si="7">SUM(W16:X16)</f>
        <v>590</v>
      </c>
      <c r="Z16" s="344" t="str">
        <f>IF(ISNUMBER(Datos!CC16),Datos!CC16," - ")</f>
        <v xml:space="preserve"> - </v>
      </c>
      <c r="AA16" s="341">
        <f>IF(ISNUMBER(IF(D_I="SI",Datos!L16,Datos!L16+Datos!AF16)),IF(D_I="SI",Datos!L16,Datos!L16+Datos!AF16)," - ")</f>
        <v>750</v>
      </c>
      <c r="AB16" s="343">
        <f>IF(ISNUMBER(Datos!R16),Datos!R16," - ")</f>
        <v>90</v>
      </c>
      <c r="AC16" s="343">
        <f t="shared" si="6"/>
        <v>840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59</v>
      </c>
      <c r="AJ16" s="235" t="str">
        <f>IF(ISNUMBER(Datos!BW16),Datos!BW16," - ")</f>
        <v xml:space="preserve"> - </v>
      </c>
      <c r="AK16" s="236" t="str">
        <f>IF(ISNUMBER(Datos!BX16),Datos!BX16," - ")</f>
        <v xml:space="preserve"> - </v>
      </c>
      <c r="AL16" s="247">
        <f>IF(ISNUMBER(NºAsuntos!G16/NºAsuntos!E16),NºAsuntos!G16/NºAsuntos!E16," - ")</f>
        <v>0.84766214177978882</v>
      </c>
      <c r="AM16" s="264">
        <f>IF(ISNUMBER(((NºAsuntos!I16/NºAsuntos!G16)*11)/factor_trimestre),((NºAsuntos!I16/NºAsuntos!G16)*11)/factor_trimestre," - ")</f>
        <v>4.0035587188612105</v>
      </c>
      <c r="AN16" s="248">
        <f>IF(ISNUMBER('Resol  Asuntos'!D16/NºAsuntos!G16),'Resol  Asuntos'!D16/NºAsuntos!G16," - ")</f>
        <v>0.10498220640569395</v>
      </c>
      <c r="AO16" s="249">
        <f>IF(ISNUMBER((NºAsuntos!C16+NºAsuntos!E16)/NºAsuntos!G16),(NºAsuntos!C16+NºAsuntos!E16)/NºAsuntos!G16," - ")</f>
        <v>2.1405693950177938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54</v>
      </c>
      <c r="X17" s="230">
        <f>IF(ISNUMBER(Datos!Q17),Datos!Q17," - ")</f>
        <v>2</v>
      </c>
      <c r="Y17" s="343">
        <f t="shared" si="7"/>
        <v>56</v>
      </c>
      <c r="Z17" s="344" t="str">
        <f>IF(ISNUMBER(Datos!CC17),Datos!CC17," - ")</f>
        <v xml:space="preserve"> - </v>
      </c>
      <c r="AA17" s="341">
        <f>IF(ISNUMBER(Datos!L17),Datos!L17,"-")</f>
        <v>22</v>
      </c>
      <c r="AB17" s="343">
        <f>IF(ISNUMBER(Datos!R17),Datos!R17," - ")</f>
        <v>5</v>
      </c>
      <c r="AC17" s="343">
        <f t="shared" si="6"/>
        <v>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1.1489361702127661</v>
      </c>
      <c r="AM17" s="264">
        <f>IF(ISNUMBER(((NºAsuntos!I17/NºAsuntos!G17)*11)/factor_trimestre),((NºAsuntos!I17/NºAsuntos!G17)*11)/factor_trimestre," - ")</f>
        <v>1.2222222222222221</v>
      </c>
      <c r="AN17" s="248">
        <f>IF(ISNUMBER('Resol  Asuntos'!D17/NºAsuntos!G17),'Resol  Asuntos'!D17/NºAsuntos!G17," - ")</f>
        <v>0</v>
      </c>
      <c r="AO17" s="249">
        <f>IF(ISNUMBER((NºAsuntos!C17+NºAsuntos!E17)/NºAsuntos!G17),(NºAsuntos!C17+NºAsuntos!E17)/NºAsuntos!G17," - ")</f>
        <v>1.4074074074074074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649</v>
      </c>
      <c r="G18" s="1012">
        <f>SUBTOTAL(9,G15:G17)</f>
        <v>569</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616</v>
      </c>
      <c r="X18" s="1013">
        <f t="shared" si="11"/>
        <v>30</v>
      </c>
      <c r="Y18" s="1014">
        <f t="shared" si="11"/>
        <v>646</v>
      </c>
      <c r="Z18" s="1014">
        <f t="shared" si="11"/>
        <v>0</v>
      </c>
      <c r="AA18" s="1014">
        <f t="shared" si="11"/>
        <v>772</v>
      </c>
      <c r="AB18" s="1014">
        <f t="shared" si="11"/>
        <v>95</v>
      </c>
      <c r="AC18" s="1014">
        <f t="shared" si="11"/>
        <v>867</v>
      </c>
      <c r="AD18" s="1014">
        <f t="shared" si="11"/>
        <v>0</v>
      </c>
      <c r="AE18" s="1018">
        <f t="shared" si="11"/>
        <v>0</v>
      </c>
      <c r="AF18" s="1011">
        <f t="shared" si="11"/>
        <v>0</v>
      </c>
      <c r="AG18" s="1019">
        <f t="shared" si="11"/>
        <v>0</v>
      </c>
      <c r="AH18" s="1016">
        <f t="shared" si="11"/>
        <v>0</v>
      </c>
      <c r="AI18" s="1011">
        <f t="shared" si="11"/>
        <v>59</v>
      </c>
      <c r="AJ18" s="1013">
        <f t="shared" si="11"/>
        <v>0</v>
      </c>
      <c r="AK18" s="1016">
        <f t="shared" si="11"/>
        <v>0</v>
      </c>
      <c r="AL18" s="1020">
        <f>IF(ISNUMBER(NºAsuntos!G18/NºAsuntos!E18),NºAsuntos!G18/NºAsuntos!E18," - ")</f>
        <v>0.86760563380281686</v>
      </c>
      <c r="AM18" s="1020">
        <f>IF(ISNUMBER(((NºAsuntos!I18/NºAsuntos!G18)*11)/factor_trimestre),((NºAsuntos!I18/NºAsuntos!G18)*11)/factor_trimestre," - ")</f>
        <v>3.7597402597402603</v>
      </c>
      <c r="AN18" s="1021">
        <f>IF(ISNUMBER('Resol  Asuntos'!D18/NºAsuntos!G18),'Resol  Asuntos'!D18/NºAsuntos!G18," - ")</f>
        <v>9.5779220779220783E-2</v>
      </c>
      <c r="AO18" s="1022">
        <f>IF(ISNUMBER((NºAsuntos!C18+NºAsuntos!E18)/NºAsuntos!G18),(NºAsuntos!C18+NºAsuntos!E18)/NºAsuntos!G18," - ")</f>
        <v>2.0762987012987013</v>
      </c>
      <c r="AP18" s="1023" t="str">
        <f t="shared" si="2"/>
        <v xml:space="preserve"> - </v>
      </c>
      <c r="AQ18" s="1023">
        <f>IF(ISNUMBER((H18-W18+K18)/(F18)),(H18-W18+K18)/(F18)," - ")</f>
        <v>-0.94915254237288138</v>
      </c>
      <c r="AR18" s="1024">
        <f>IF(ISNUMBER((Datos!P18-Datos!Q18)/(Datos!R18-Datos!P18+Datos!Q18)),(Datos!P18-Datos!Q18)/(Datos!R18-Datos!P18+Datos!Q18)," - ")</f>
        <v>-0.21487603305785125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658</v>
      </c>
      <c r="G19" s="967">
        <f t="shared" si="13"/>
        <v>578</v>
      </c>
      <c r="H19" s="966">
        <f t="shared" si="13"/>
        <v>0</v>
      </c>
      <c r="I19" s="968">
        <f t="shared" si="13"/>
        <v>0</v>
      </c>
      <c r="J19" s="968">
        <f t="shared" si="13"/>
        <v>0</v>
      </c>
      <c r="K19" s="1027">
        <f t="shared" si="13"/>
        <v>0</v>
      </c>
      <c r="L19" s="968">
        <f t="shared" si="13"/>
        <v>90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619</v>
      </c>
      <c r="X19" s="967">
        <f t="shared" si="14"/>
        <v>68</v>
      </c>
      <c r="Y19" s="974">
        <f t="shared" si="14"/>
        <v>687</v>
      </c>
      <c r="Z19" s="974">
        <f t="shared" si="14"/>
        <v>0</v>
      </c>
      <c r="AA19" s="974">
        <f t="shared" si="14"/>
        <v>780</v>
      </c>
      <c r="AB19" s="974">
        <f t="shared" si="14"/>
        <v>2294</v>
      </c>
      <c r="AC19" s="974">
        <f t="shared" si="14"/>
        <v>875</v>
      </c>
      <c r="AD19" s="974">
        <f t="shared" si="14"/>
        <v>0</v>
      </c>
      <c r="AE19" s="976">
        <f t="shared" si="14"/>
        <v>0</v>
      </c>
      <c r="AF19" s="977">
        <f t="shared" si="14"/>
        <v>0</v>
      </c>
      <c r="AG19" s="978">
        <f t="shared" si="14"/>
        <v>0</v>
      </c>
      <c r="AH19" s="976">
        <f t="shared" si="14"/>
        <v>0</v>
      </c>
      <c r="AI19" s="966">
        <f t="shared" si="14"/>
        <v>123</v>
      </c>
      <c r="AJ19" s="966">
        <f t="shared" si="14"/>
        <v>0</v>
      </c>
      <c r="AK19" s="976">
        <f t="shared" si="14"/>
        <v>0</v>
      </c>
      <c r="AL19" s="1030">
        <f>IF(ISNUMBER(NºAsuntos!G19/NºAsuntos!E19),NºAsuntos!G19/NºAsuntos!E19," - ")</f>
        <v>0.67032106499608457</v>
      </c>
      <c r="AM19" s="1031">
        <f>IF(ISNUMBER(((NºAsuntos!I19/NºAsuntos!G19)*11)/factor_trimestre),((NºAsuntos!I19/NºAsuntos!G19)*11)/factor_trimestre," - ")</f>
        <v>10.489485981308412</v>
      </c>
      <c r="AN19" s="1031">
        <f>IF(ISNUMBER('Resol  Asuntos'!D19/NºAsuntos!G19),'Resol  Asuntos'!D19/NºAsuntos!G19," - ")</f>
        <v>0.14369158878504673</v>
      </c>
      <c r="AO19" s="1032">
        <f>IF(ISNUMBER((NºAsuntos!C19+NºAsuntos!E19)/NºAsuntos!G19),(NºAsuntos!C19+NºAsuntos!E19)/NºAsuntos!G19," - ")</f>
        <v>4.3691588785046731</v>
      </c>
      <c r="AP19" s="1033" t="str">
        <f t="shared" si="2"/>
        <v xml:space="preserve"> - </v>
      </c>
      <c r="AQ19" s="1034">
        <f>IF(OR(ISNUMBER(FIND("01",Criterios!A8,1)),ISNUMBER(FIND("02",Criterios!A8,1)),ISNUMBER(FIND("03",Criterios!A8,1)),ISNUMBER(FIND("04",Criterios!A8,1))),(I19-W19+K19)/(F19-K19),(H19-W19+K19)/(F19-K19))</f>
        <v>-0.94072948328267481</v>
      </c>
      <c r="AR19" s="1035">
        <f>IF(ISNUMBER((Datos!P19-Datos!Q19)/(Datos!R19-Datos!P19+Datos!Q19)),(Datos!P19-Datos!Q19)/(Datos!R19-Datos!P19+Datos!Q19)," - ")</f>
        <v>9.683098591549295E-3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369.50417228136052</v>
      </c>
      <c r="G21" s="257">
        <f>IF(ISNUMBER(STDEV(G8:G18)),STDEV(G8:G18),"-")</f>
        <v>295.42207094257532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312.93178170329713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31.048349392520048</v>
      </c>
      <c r="AJ21" s="256">
        <f t="shared" si="18"/>
        <v>0</v>
      </c>
      <c r="AK21" s="258">
        <f t="shared" si="18"/>
        <v>0</v>
      </c>
      <c r="AL21" s="253">
        <f t="shared" si="18"/>
        <v>0.41897930002206085</v>
      </c>
      <c r="AM21" s="254">
        <f t="shared" si="18"/>
        <v>12.3997632113129</v>
      </c>
      <c r="AN21" s="254">
        <f t="shared" si="18"/>
        <v>0.23644220856023998</v>
      </c>
      <c r="AO21" s="255">
        <f t="shared" si="18"/>
        <v>4.1833554452545334</v>
      </c>
      <c r="AP21" s="295" t="str">
        <f t="shared" si="18"/>
        <v>-</v>
      </c>
      <c r="AQ21" s="296">
        <f t="shared" si="18"/>
        <v>0.43544993869680054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QeYRCjotlMy1pBtbSgTOvVJ7uUFEmUFGR7bUKHzW7yLe8rgEZT/HQFm/trmSIXAaK2tohLhWc02vVdr6wMKYg==" saltValue="czazFdJM4ReI4GdIgVjX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RONDA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v>
      </c>
      <c r="F10" s="357" t="str">
        <f>IF(ISNUMBER((Datos!K10-Datos!U10)/Datos!U10),(Datos!K10-Datos!U10)/Datos!U10," - ")</f>
        <v xml:space="preserve"> - </v>
      </c>
      <c r="G10" s="358">
        <f>IF(ISNUMBER((Datos!L10-Datos!V10)/Datos!V10),(Datos!L10-Datos!V10)/Datos!V10," - ")</f>
        <v>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-0.3473684210526316</v>
      </c>
      <c r="I12" s="359">
        <f>IF(ISNUMBER((Tasas!C12-Datos!BE12)/Datos!BE12),(Tasas!C12-Datos!BE12)/Datos!BE12," - ")</f>
        <v>2.0636854496577843</v>
      </c>
      <c r="J12" s="358">
        <f>IF(ISNUMBER((Tasas!D12-Datos!BF12)/Datos!BF12),(Tasas!D12-Datos!BF12)/Datos!BF12," - ")</f>
        <v>-0.44075011720581336</v>
      </c>
      <c r="K12" s="360">
        <f>IF(ISNUMBER((Tasas!E12-Datos!BG12)/Datos!BG12),(Tasas!E12-Datos!BG12)/Datos!BG12," - ")</f>
        <v>1.7547716726860456</v>
      </c>
      <c r="M12" t="e">
        <f>IF(Monitorios="SI",Datos!CE12,0)</f>
        <v>#REF!</v>
      </c>
      <c r="N12" t="e">
        <f>IF(Monitorios="SI",Datos!CF12,0)</f>
        <v>#REF!</v>
      </c>
      <c r="O12" t="e">
        <f>IF(Monitorios="SI",Datos!CG12,0)</f>
        <v>#REF!</v>
      </c>
      <c r="P12" t="e">
        <f>IF(Monitorios="SI",Datos!CH12,0)</f>
        <v>#REF!</v>
      </c>
      <c r="Q12">
        <f>IF(J_V="SI",0,Datos!AG12)</f>
        <v>79</v>
      </c>
      <c r="R12">
        <f>IF(J_V="SI",0,Datos!AH12)</f>
        <v>64</v>
      </c>
      <c r="S12">
        <f>IF(J_V="SI",0,Datos!AI12)</f>
        <v>46</v>
      </c>
      <c r="T12">
        <f>IF(J_V="SI",0,Datos!AJ12)</f>
        <v>102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-0.32631578947368423</v>
      </c>
      <c r="I13" s="366">
        <f>IF(ISNUMBER((Tasas!C13-Datos!BE13)/Datos!BE13),(Tasas!C13-Datos!BE13)/Datos!BE13," - ")</f>
        <v>2.0321894868301542</v>
      </c>
      <c r="J13" s="364">
        <f>IF(ISNUMBER((Tasas!D13-Datos!BF13)/Datos!BF13),(Tasas!D13-Datos!BF13)/Datos!BF13," - ")</f>
        <v>-0.42992592592592599</v>
      </c>
      <c r="K13" s="367">
        <f>IF(ISNUMBER((Tasas!E13-Datos!BG13)/Datos!BG13),(Tasas!E13-Datos!BG13)/Datos!BG13," - ")</f>
        <v>1.7295263788968827</v>
      </c>
      <c r="M13" t="e">
        <f>IF(Monitorios="SI",Datos!CE13,0)</f>
        <v>#REF!</v>
      </c>
      <c r="N13" t="e">
        <f>IF(Monitorios="SI",Datos!CF13,0)</f>
        <v>#REF!</v>
      </c>
      <c r="O13" t="e">
        <f>IF(Monitorios="SI",Datos!CG13,0)</f>
        <v>#REF!</v>
      </c>
      <c r="P13" t="e">
        <f>IF(Monitorios="SI",Datos!CH13,0)</f>
        <v>#REF!</v>
      </c>
      <c r="Q13">
        <f>IF(J_V="SI",0,Datos!AG13)</f>
        <v>79</v>
      </c>
      <c r="R13">
        <f>IF(J_V="SI",0,Datos!AH13)</f>
        <v>64</v>
      </c>
      <c r="S13">
        <f>IF(J_V="SI",0,Datos!AI13)</f>
        <v>46</v>
      </c>
      <c r="T13">
        <f>IF(J_V="SI",0,Datos!AJ13)</f>
        <v>102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-2.8776978417266189E-2</v>
      </c>
      <c r="E16" s="357">
        <f>IF(ISNUMBER(
   IF(D_I="SI",(Datos!J16-Datos!T16)/Datos!T16,(Datos!J16+Datos!AD16-(Datos!T16+Datos!AL16))/(Datos!T16+Datos!AL16))
     ),IF(D_I="SI",(Datos!J16-Datos!T16)/Datos!T16,(Datos!J16+Datos!AD16-(Datos!T16+Datos!AL16))/(Datos!T16+Datos!AL16))," - ")</f>
        <v>-6.6197183098591544E-2</v>
      </c>
      <c r="F16" s="357">
        <f>IF(ISNUMBER(
   IF(D_I="SI",(Datos!K16-Datos!U16)/Datos!U16,(Datos!K16+Datos!AE16-(Datos!U16+Datos!AM16))/(Datos!U16+Datos!AM16))
     ),IF(D_I="SI",(Datos!K16-Datos!U16)/Datos!U16,(Datos!K16+Datos!AE16-(Datos!U16+Datos!AM16))/(Datos!U16+Datos!AM16))," - ")</f>
        <v>-8.0196399345335512E-2</v>
      </c>
      <c r="G16" s="358">
        <f>IF(ISNUMBER(
   IF(D_I="SI",(Datos!L16-Datos!V16)/Datos!V16,(Datos!L16+Datos!AF16-(Datos!V16+Datos!AN16))/(Datos!V16+Datos!AN16))
     ),IF(D_I="SI",(Datos!L16-Datos!V16)/Datos!V16,(Datos!L16+Datos!AF16-(Datos!V16+Datos!AN16))/(Datos!V16+Datos!AN16))," - ")</f>
        <v>0.25418060200668896</v>
      </c>
      <c r="H16" s="234">
        <f>IF(ISNUMBER((Datos!M16-Datos!W16)/Datos!W16),(Datos!M16-Datos!W16)/Datos!W16," - ")</f>
        <v>-0.23376623376623376</v>
      </c>
      <c r="I16" s="359">
        <f>IF(ISNUMBER((Tasas!C16-Datos!BE16)/Datos!BE16),(Tasas!C16-Datos!BE16)/Datos!BE16," - ")</f>
        <v>0.36353086801794837</v>
      </c>
      <c r="J16" s="358">
        <f>IF(ISNUMBER((Tasas!D16-Datos!BF16)/Datos!BF16),(Tasas!D16-Datos!BF16)/Datos!BF16," - ")</f>
        <v>-0.16695937514442852</v>
      </c>
      <c r="K16" s="360">
        <f>IF(ISNUMBER((Tasas!E16-Datos!BG16)/Datos!BG16),(Tasas!E16-Datos!BG16)/Datos!BG16," - ")</f>
        <v>3.3086809127861001E-2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0.31818181818181818</v>
      </c>
      <c r="E17" s="357">
        <f>IF(ISNUMBER(
   IF(D_I="SI",(Datos!J17-Datos!T17)/Datos!T17,(Datos!J17+Datos!AD17-(Datos!T17+Datos!AL17))/(Datos!T17+Datos!AL17))
     ),IF(D_I="SI",(Datos!J17-Datos!T17)/Datos!T17,(Datos!J17+Datos!AD17-(Datos!T17+Datos!AL17))/(Datos!T17+Datos!AL17))," - ")</f>
        <v>0.11904761904761904</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-0.15384615384615385</v>
      </c>
      <c r="H17" s="234">
        <f>IF(ISNUMBER((Datos!M17-Datos!W17)/Datos!W17),(Datos!M17-Datos!W17)/Datos!W17," - ")</f>
        <v>-1</v>
      </c>
      <c r="I17" s="359">
        <f>IF(ISNUMBER((Tasas!C17-Datos!BE17)/Datos!BE17),(Tasas!C17-Datos!BE17)/Datos!BE17," - ")</f>
        <v>-0.34188034188034194</v>
      </c>
      <c r="J17" s="358">
        <f>IF(ISNUMBER((Tasas!D17-Datos!BF17)/Datos!BF17),(Tasas!D17-Datos!BF17)/Datos!BF17," - ")</f>
        <v>-1</v>
      </c>
      <c r="K17" s="360">
        <f>IF(ISNUMBER((Tasas!E17-Datos!BG17)/Datos!BG17),(Tasas!E17-Datos!BG17)/Datos!BG17," - ")</f>
        <v>-7.6388888888888812E-2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-1.5570934256055362E-2</v>
      </c>
      <c r="E18" s="363">
        <f>IF(ISNUMBER(
   IF(D_I="SI",(Datos!J18-Datos!T18)/Datos!T18,(Datos!J18+Datos!AD18-(Datos!T18+Datos!AL18))/(Datos!T18+Datos!AL18))
     ),IF(D_I="SI",(Datos!J18-Datos!T18)/Datos!T18,(Datos!J18+Datos!AD18-(Datos!T18+Datos!AL18))/(Datos!T18+Datos!AL18))," - ")</f>
        <v>-5.5851063829787231E-2</v>
      </c>
      <c r="F18" s="363">
        <f>IF(ISNUMBER(
   IF(D_I="SI",(Datos!K18-Datos!U18)/Datos!U18,(Datos!K18+Datos!AE18-(Datos!U18+Datos!AM18))/(Datos!U18+Datos!AM18))
     ),IF(D_I="SI",(Datos!K18-Datos!U18)/Datos!U18,(Datos!K18+Datos!AE18-(Datos!U18+Datos!AM18))/(Datos!U18+Datos!AM18))," - ")</f>
        <v>-5.6661562021439509E-2</v>
      </c>
      <c r="G18" s="364">
        <f>IF(ISNUMBER(
   IF(D_I="SI",(Datos!L18-Datos!V18)/Datos!V18,(Datos!L18+Datos!AF18-(Datos!V18+Datos!AN18))/(Datos!V18+Datos!AN18))
     ),IF(D_I="SI",(Datos!L18-Datos!V18)/Datos!V18,(Datos!L18+Datos!AF18-(Datos!V18+Datos!AN18))/(Datos!V18+Datos!AN18))," - ")</f>
        <v>0.23717948717948717</v>
      </c>
      <c r="H18" s="365">
        <f>IF(ISNUMBER((Datos!M18-Datos!W18)/Datos!W18),(Datos!M18-Datos!W18)/Datos!W18," - ")</f>
        <v>-0.25316455696202533</v>
      </c>
      <c r="I18" s="366">
        <f>IF(ISNUMBER((Tasas!C18-Datos!BE18)/Datos!BE18),(Tasas!C18-Datos!BE18)/Datos!BE18," - ")</f>
        <v>0.31149059274059276</v>
      </c>
      <c r="J18" s="364">
        <f>IF(ISNUMBER((Tasas!D18-Datos!BF18)/Datos!BF18),(Tasas!D18-Datos!BF18)/Datos!BF18," - ")</f>
        <v>-0.20830593457175728</v>
      </c>
      <c r="K18" s="367">
        <f>IF(ISNUMBER((Tasas!E18-Datos!BG18)/Datos!BG18),(Tasas!E18-Datos!BG18)/Datos!BG18," - ")</f>
        <v>1.9415828532369801E-2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0.36002208724461621</v>
      </c>
      <c r="E19" s="372">
        <f>IF(ISNUMBER(
   IF(J_V="SI",(Datos!J19-Datos!T19)/Datos!T19,(Datos!J19+Datos!Z19-(Datos!T19+Datos!AH19))/(Datos!T19+Datos!AH19))
     ),IF(J_V="SI",(Datos!J19-Datos!T19)/Datos!T19,(Datos!J19+Datos!Z19-(Datos!T19+Datos!AH19))/(Datos!T19+Datos!AH19))," - ")</f>
        <v>-3.6953242835595777E-2</v>
      </c>
      <c r="F19" s="372">
        <f>IF(ISNUMBER(
   IF(J_V="SI",(Datos!K19-Datos!U19)/Datos!U19,(Datos!K19+Datos!AA19-(Datos!U19+Datos!AI19))/(Datos!U19+Datos!AI19))
     ),IF(J_V="SI",(Datos!K19-Datos!U19)/Datos!U19,(Datos!K19+Datos!AA19-(Datos!U19+Datos!AI19))/(Datos!U19+Datos!AI19))," - ")</f>
        <v>-0.24514991181657847</v>
      </c>
      <c r="G19" s="373">
        <f>IF(ISNUMBER(
   IF(J_V="SI",(Datos!L19-Datos!V19)/Datos!V19,(Datos!L19+Datos!AB19-(Datos!V19+Datos!AJ19))/(Datos!V19+Datos!AJ19))
     ),IF(J_V="SI",(Datos!L19-Datos!V19)/Datos!V19,(Datos!L19+Datos!AB19-(Datos!V19+Datos!AJ19))/(Datos!V19+Datos!AJ19))," - ")</f>
        <v>0.43068833652007649</v>
      </c>
      <c r="H19" s="374">
        <f>IF(ISNUMBER((Datos!M19-Datos!W19)/Datos!W19),(Datos!M19-Datos!W19)/Datos!W19," - ")</f>
        <v>-0.29310344827586204</v>
      </c>
      <c r="I19" s="371">
        <f>IF(ISNUMBER((Tasas!C19-Datos!BE19)/Datos!BE19),(Tasas!C19-Datos!BE19)/Datos!BE19," - ")</f>
        <v>0.89532777291327892</v>
      </c>
      <c r="J19" s="372">
        <f>IF(ISNUMBER((Tasas!D19-Datos!BF19)/Datos!BF19),(Tasas!D19-Datos!BF19)/Datos!BF19," - ")</f>
        <v>-0.46399256025577962</v>
      </c>
      <c r="K19" s="373">
        <f>IF(ISNUMBER((Tasas!E19-Datos!BG19)/Datos!BG19),(Tasas!E19-Datos!BG19)/Datos!BG19," - ")</f>
        <v>0.5794154186242586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0.19661540542377359</v>
      </c>
      <c r="E21" s="282">
        <f t="shared" si="1"/>
        <v>8.499312332986074E-2</v>
      </c>
      <c r="F21" s="282">
        <f t="shared" si="1"/>
        <v>0.2048030513775857</v>
      </c>
      <c r="G21" s="283">
        <f t="shared" si="1"/>
        <v>1.4559968760819566</v>
      </c>
      <c r="H21" s="289">
        <f t="shared" si="1"/>
        <v>0.32102738303227296</v>
      </c>
      <c r="I21" s="281">
        <f t="shared" si="1"/>
        <v>1.0967472761883252</v>
      </c>
      <c r="J21" s="282">
        <f t="shared" si="1"/>
        <v>0.33223231737752434</v>
      </c>
      <c r="K21" s="283">
        <f t="shared" si="1"/>
        <v>0.95954443964790792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6Qi2JDwVqVWAW2U0oglBU0WafSBbsisoQzSxKD8FdAphduD4el79EvCLbAHBZUvw4h8KYInMzB57K/l+7JHYg==" saltValue="J490ZVUKousoAntVfP6et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